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51-雁栖大街53号院\"/>
    </mc:Choice>
  </mc:AlternateContent>
  <xr:revisionPtr revIDLastSave="0" documentId="13_ncr:1_{FB0A8663-1752-412F-8BB2-97E34FBCB8D5}" xr6:coauthVersionLast="47" xr6:coauthVersionMax="47" xr10:uidLastSave="{00000000-0000-0000-0000-000000000000}"/>
  <bookViews>
    <workbookView xWindow="-132" yWindow="156" windowWidth="12972" windowHeight="12204" tabRatio="899" firstSheet="17"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12号楼）" sheetId="15" r:id="rId22"/>
    <sheet name="收益法 (元)" sheetId="67" state="hidden" r:id="rId23"/>
    <sheet name="收益法-酒店模型" sheetId="77" state="hidden" r:id="rId24"/>
    <sheet name="典型户型修正" sheetId="31" r:id="rId25"/>
    <sheet name="结果表(13号楼净值)" sheetId="83" r:id="rId26"/>
    <sheet name="成本法" sheetId="68" r:id="rId27"/>
    <sheet name="基准地价修正" sheetId="43" r:id="rId28"/>
    <sheet name="收益法(13号楼)" sheetId="80"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 name="案例" sheetId="82" r:id="rId49"/>
  </sheets>
  <externalReferences>
    <externalReference r:id="rId50"/>
    <externalReference r:id="rId51"/>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'结果表(13号楼净值)'!$A$1:$I$127</definedName>
    <definedName name="_xlnm.Print_Area" localSheetId="22">'收益法 (元)'!$A$1:$F$43,'收益法 (元)'!$H$3:$M$29,'收益法 (元)'!$A$45:$F$71,'收益法 (元)'!$I$46:$N$65</definedName>
    <definedName name="_xlnm.Print_Area" localSheetId="21">'收益法（12号楼）'!$A$1:$F$43,'收益法（12号楼）'!$H$3:$M$29,'收益法（12号楼）'!$A$46:$F$71,'收益法（12号楼）'!$I$46:$N$65</definedName>
    <definedName name="_xlnm.Print_Area" localSheetId="28">'收益法(13号楼)'!$A$1:$F$43,'收益法(13号楼)'!$H$3:$M$29,'收益法(13号楼)'!$A$46:$F$71,'收益法(13号楼)'!$I$46:$N$65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120" i="83" l="1"/>
  <c r="H111" i="83"/>
  <c r="D126" i="83" s="1"/>
  <c r="D127" i="83" s="1"/>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M55" i="83" s="1"/>
  <c r="F56" i="83"/>
  <c r="O55" i="83"/>
  <c r="N55" i="83"/>
  <c r="K55" i="83"/>
  <c r="J55" i="83"/>
  <c r="I55" i="83"/>
  <c r="F55" i="83" s="1"/>
  <c r="O53" i="83" s="1"/>
  <c r="O54" i="83"/>
  <c r="N54" i="83"/>
  <c r="N53" i="83"/>
  <c r="K49" i="83"/>
  <c r="E48" i="83"/>
  <c r="N52" i="83" s="1"/>
  <c r="F33" i="83"/>
  <c r="D27" i="83"/>
  <c r="C25" i="83"/>
  <c r="C24" i="83"/>
  <c r="D17" i="83"/>
  <c r="C17" i="83"/>
  <c r="C18" i="83" s="1"/>
  <c r="D18" i="83" s="1"/>
  <c r="L4" i="83"/>
  <c r="K4" i="83"/>
  <c r="H1" i="83"/>
  <c r="U23" i="31"/>
  <c r="I10" i="34"/>
  <c r="G10" i="34"/>
  <c r="A126" i="83" l="1"/>
  <c r="D121" i="83"/>
  <c r="K120" i="83"/>
  <c r="C92" i="83"/>
  <c r="C94" i="83"/>
  <c r="H109" i="83"/>
  <c r="D124" i="83" l="1"/>
  <c r="D125" i="83" s="1"/>
  <c r="H110" i="83"/>
  <c r="H11" i="81" l="1"/>
  <c r="F11" i="81"/>
  <c r="G11" i="81" s="1"/>
  <c r="E11" i="81"/>
  <c r="H10" i="81"/>
  <c r="F10" i="81"/>
  <c r="E10" i="81"/>
  <c r="G10" i="81" s="1"/>
  <c r="F6" i="81"/>
  <c r="F7" i="81" s="1"/>
  <c r="B24" i="31"/>
  <c r="Q72" i="80"/>
  <c r="Q59" i="80"/>
  <c r="K59" i="80"/>
  <c r="P74" i="80" s="1"/>
  <c r="F59" i="80"/>
  <c r="Q58" i="80"/>
  <c r="Q51" i="80"/>
  <c r="J50" i="80"/>
  <c r="M47" i="80"/>
  <c r="D46" i="80"/>
  <c r="F33" i="80"/>
  <c r="F61" i="80" s="1"/>
  <c r="F31" i="80"/>
  <c r="F23" i="80"/>
  <c r="D24" i="80" s="1"/>
  <c r="F21" i="80"/>
  <c r="F20" i="80"/>
  <c r="M19" i="80"/>
  <c r="F18" i="80"/>
  <c r="M17" i="80"/>
  <c r="F17" i="80"/>
  <c r="F15" i="80"/>
  <c r="F19" i="6"/>
  <c r="C34" i="34" s="1"/>
  <c r="AM7" i="1"/>
  <c r="AL7" i="1"/>
  <c r="AK7" i="1"/>
  <c r="V7" i="1"/>
  <c r="W7" i="1"/>
  <c r="N18" i="1"/>
  <c r="N20" i="1" s="1"/>
  <c r="N6" i="1" s="1"/>
  <c r="L7" i="1"/>
  <c r="J7" i="1"/>
  <c r="I7" i="1"/>
  <c r="H7" i="1"/>
  <c r="B59" i="1"/>
  <c r="B21" i="1"/>
  <c r="V24" i="31" l="1"/>
  <c r="B14" i="74"/>
  <c r="D22" i="80"/>
  <c r="D23" i="80"/>
  <c r="Y6" i="1"/>
  <c r="C37" i="34"/>
  <c r="N7" i="1"/>
  <c r="Y7" i="1" s="1"/>
  <c r="P61" i="80"/>
  <c r="K14" i="3" l="1"/>
  <c r="G20" i="6" s="1"/>
  <c r="D42" i="43" s="1"/>
  <c r="I14" i="3" l="1"/>
  <c r="F20" i="6" s="1"/>
  <c r="D3" i="4"/>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7"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G44" i="43" s="1"/>
  <c r="K47" i="78"/>
  <c r="K46" i="78"/>
  <c r="K45" i="78"/>
  <c r="K41" i="78"/>
  <c r="K40" i="78"/>
  <c r="K39" i="78"/>
  <c r="K38" i="78"/>
  <c r="K37" i="78"/>
  <c r="K36" i="78"/>
  <c r="K35" i="78"/>
  <c r="K23" i="78"/>
  <c r="K24" i="78"/>
  <c r="K25" i="78"/>
  <c r="K26" i="78"/>
  <c r="K27" i="78"/>
  <c r="K28" i="78"/>
  <c r="K29" i="78"/>
  <c r="K30" i="78"/>
  <c r="K22" i="78"/>
  <c r="U34" i="79" l="1"/>
  <c r="AI34" i="79" s="1"/>
  <c r="U33" i="79"/>
  <c r="AI33" i="79" s="1"/>
  <c r="U35" i="79"/>
  <c r="AI35" i="79" s="1"/>
  <c r="S20" i="79"/>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W40" i="79" s="1"/>
  <c r="AK40" i="79" s="1"/>
  <c r="U46" i="79"/>
  <c r="AI46" i="79" s="1"/>
  <c r="AD47" i="79"/>
  <c r="S48" i="79"/>
  <c r="AG48" i="79" s="1"/>
  <c r="U50" i="79"/>
  <c r="AI50" i="79" s="1"/>
  <c r="AD51" i="79"/>
  <c r="AR18" i="79"/>
  <c r="AR19" i="79" s="1"/>
  <c r="AR20" i="79" s="1"/>
  <c r="AR21" i="79" s="1"/>
  <c r="AR22" i="79" s="1"/>
  <c r="AR23" i="79" s="1"/>
  <c r="AR24" i="79" s="1"/>
  <c r="T33" i="79"/>
  <c r="T34" i="79"/>
  <c r="T35"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34" i="79"/>
  <c r="AK34" i="79" s="1"/>
  <c r="AH34" i="79"/>
  <c r="AH40" i="79"/>
  <c r="W33" i="79"/>
  <c r="AK33" i="79" s="1"/>
  <c r="AH33" i="79"/>
  <c r="W39" i="79"/>
  <c r="AK39" i="79" s="1"/>
  <c r="F93" i="43"/>
  <c r="H100" i="43" s="1"/>
  <c r="G100" i="43"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23" i="79"/>
  <c r="AK23" i="79" s="1"/>
  <c r="AH23"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19" i="73"/>
  <c r="F19" i="73"/>
  <c r="E19" i="73"/>
  <c r="K100" i="43" l="1"/>
  <c r="J100" i="43" s="1"/>
  <c r="D100" i="43" s="1"/>
  <c r="M100" i="43"/>
  <c r="N100" i="43" s="1"/>
  <c r="H94" i="43"/>
  <c r="G94" i="43" s="1"/>
  <c r="H101" i="43"/>
  <c r="G101" i="43" s="1"/>
  <c r="H93" i="43"/>
  <c r="G93" i="43" s="1"/>
  <c r="H97" i="43"/>
  <c r="G97" i="43" s="1"/>
  <c r="H99" i="43"/>
  <c r="G99" i="43" s="1"/>
  <c r="H95" i="43"/>
  <c r="G95" i="43" s="1"/>
  <c r="H96" i="43"/>
  <c r="G96" i="43" s="1"/>
  <c r="H98" i="43"/>
  <c r="G98" i="43" s="1"/>
  <c r="G20" i="73"/>
  <c r="F20" i="73"/>
  <c r="E20" i="73"/>
  <c r="K96" i="43" l="1"/>
  <c r="M96" i="43"/>
  <c r="N96" i="43" s="1"/>
  <c r="M95" i="43"/>
  <c r="N95" i="43" s="1"/>
  <c r="K95" i="43"/>
  <c r="K94" i="43"/>
  <c r="J94" i="43" s="1"/>
  <c r="M94" i="43"/>
  <c r="N94" i="43" s="1"/>
  <c r="M93" i="43"/>
  <c r="N93" i="43" s="1"/>
  <c r="K93" i="43"/>
  <c r="J93" i="43" s="1"/>
  <c r="M101" i="43"/>
  <c r="N101" i="43" s="1"/>
  <c r="K101" i="43"/>
  <c r="J101" i="43" s="1"/>
  <c r="D101" i="43" s="1"/>
  <c r="M99" i="43"/>
  <c r="N99" i="43" s="1"/>
  <c r="K99" i="43"/>
  <c r="J99" i="43" s="1"/>
  <c r="K98" i="43"/>
  <c r="M98" i="43"/>
  <c r="N98" i="43" s="1"/>
  <c r="M97" i="43"/>
  <c r="N97" i="43" s="1"/>
  <c r="K97" i="43"/>
  <c r="J97" i="43" s="1"/>
  <c r="G21" i="73"/>
  <c r="F21" i="73"/>
  <c r="E21" i="73"/>
  <c r="J95" i="43" l="1"/>
  <c r="D95" i="43"/>
  <c r="J98" i="43"/>
  <c r="D98" i="43"/>
  <c r="J96" i="43"/>
  <c r="D96"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E67" i="71" s="1"/>
  <c r="C68" i="71"/>
  <c r="B68" i="71"/>
  <c r="B67" i="71" s="1"/>
  <c r="B66" i="71" s="1"/>
  <c r="N66" i="71" s="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D41" i="71"/>
  <c r="Q40" i="71"/>
  <c r="P40" i="71"/>
  <c r="O40" i="71"/>
  <c r="N40" i="71"/>
  <c r="Q39" i="71"/>
  <c r="AB39" i="71" s="1"/>
  <c r="P39" i="71"/>
  <c r="AA39" i="71"/>
  <c r="O39" i="71"/>
  <c r="N39" i="71"/>
  <c r="X39" i="71" s="1"/>
  <c r="Q38" i="71"/>
  <c r="P38" i="71"/>
  <c r="O38" i="71"/>
  <c r="Y38" i="71" s="1"/>
  <c r="Z38" i="71" s="1"/>
  <c r="N38" i="71"/>
  <c r="X38" i="71" s="1"/>
  <c r="F38" i="71"/>
  <c r="F39" i="71" s="1"/>
  <c r="F40" i="71" s="1"/>
  <c r="V40" i="71" s="1"/>
  <c r="Q37" i="71"/>
  <c r="P37" i="71"/>
  <c r="AA36" i="71" s="1"/>
  <c r="O37" i="71"/>
  <c r="N37" i="71"/>
  <c r="D37" i="71"/>
  <c r="Q36" i="71"/>
  <c r="P36" i="71"/>
  <c r="O36" i="71"/>
  <c r="Y35" i="71" s="1"/>
  <c r="Z35" i="71" s="1"/>
  <c r="N36" i="71"/>
  <c r="Q35" i="71"/>
  <c r="P35" i="71"/>
  <c r="AA35" i="71" s="1"/>
  <c r="O35" i="71"/>
  <c r="N35" i="71"/>
  <c r="Q34" i="71"/>
  <c r="P34" i="71"/>
  <c r="O34" i="71"/>
  <c r="N34" i="71"/>
  <c r="F36" i="71"/>
  <c r="V36" i="71" s="1"/>
  <c r="Q33" i="71"/>
  <c r="F34" i="71" s="1"/>
  <c r="F35" i="71" s="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N29" i="71"/>
  <c r="D29" i="71"/>
  <c r="O28" i="71"/>
  <c r="N28" i="71"/>
  <c r="B30" i="71"/>
  <c r="B31" i="71"/>
  <c r="E30" i="71"/>
  <c r="E31" i="71"/>
  <c r="E32" i="71" s="1"/>
  <c r="U32" i="71" s="1"/>
  <c r="AA37" i="71"/>
  <c r="C34" i="71"/>
  <c r="X35" i="71"/>
  <c r="C38" i="71"/>
  <c r="D38" i="71" s="1"/>
  <c r="Y37" i="71"/>
  <c r="Z37" i="71" s="1"/>
  <c r="AA38" i="71"/>
  <c r="F51" i="71"/>
  <c r="F52" i="71" s="1"/>
  <c r="V52" i="71" s="1"/>
  <c r="C28" i="71"/>
  <c r="X25" i="71"/>
  <c r="C39" i="71"/>
  <c r="D50" i="71"/>
  <c r="P28" i="71"/>
  <c r="E28" i="71" s="1"/>
  <c r="E55" i="71"/>
  <c r="E56" i="71" s="1"/>
  <c r="U56" i="71" s="1"/>
  <c r="Q28" i="71"/>
  <c r="C59" i="71"/>
  <c r="D59" i="71" s="1"/>
  <c r="N67" i="71"/>
  <c r="T68" i="71"/>
  <c r="O68" i="71"/>
  <c r="D68" i="71"/>
  <c r="C67" i="71"/>
  <c r="D67" i="71" s="1"/>
  <c r="Q68" i="71"/>
  <c r="C71" i="71"/>
  <c r="E71" i="71"/>
  <c r="E70" i="71"/>
  <c r="D72" i="71"/>
  <c r="C75" i="71"/>
  <c r="E75" i="71"/>
  <c r="E74" i="71"/>
  <c r="D76" i="71"/>
  <c r="C79" i="71"/>
  <c r="D79" i="71" s="1"/>
  <c r="E79" i="71"/>
  <c r="E78" i="71"/>
  <c r="D80" i="71"/>
  <c r="C83" i="71"/>
  <c r="F28" i="71"/>
  <c r="AA27" i="71"/>
  <c r="C66" i="71"/>
  <c r="N65" i="71"/>
  <c r="C78" i="71"/>
  <c r="D78" i="71" s="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B57" i="43"/>
  <c r="C29" i="39"/>
  <c r="S25" i="40"/>
  <c r="S18" i="36"/>
  <c r="H25" i="40"/>
  <c r="AB25" i="40" s="1"/>
  <c r="J25" i="40"/>
  <c r="H29" i="39"/>
  <c r="AB29" i="39" s="1"/>
  <c r="J29" i="39"/>
  <c r="J18" i="36"/>
  <c r="AC18" i="36" s="1"/>
  <c r="F68" i="35"/>
  <c r="H18" i="35"/>
  <c r="AB18" i="35" s="1"/>
  <c r="G68" i="35"/>
  <c r="J18" i="35"/>
  <c r="H21" i="37"/>
  <c r="F21" i="37"/>
  <c r="AA21" i="37" s="1"/>
  <c r="H21" i="34"/>
  <c r="AB21" i="34" s="1"/>
  <c r="H21" i="33"/>
  <c r="U21" i="33" s="1"/>
  <c r="F21" i="33"/>
  <c r="E83" i="21"/>
  <c r="F83" i="21" s="1"/>
  <c r="G83" i="21" s="1"/>
  <c r="H1" i="69"/>
  <c r="AC25" i="40"/>
  <c r="W25" i="40"/>
  <c r="U25" i="40"/>
  <c r="U29" i="39"/>
  <c r="W18" i="36"/>
  <c r="AB21" i="37"/>
  <c r="U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B25" i="3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6"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F34" i="36" s="1"/>
  <c r="S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c r="J40" i="33"/>
  <c r="AC40" i="33" s="1"/>
  <c r="H40" i="33"/>
  <c r="AB40" i="33"/>
  <c r="AA40" i="33"/>
  <c r="Q39" i="33"/>
  <c r="Z39" i="33" s="1"/>
  <c r="J39" i="33"/>
  <c r="Q38" i="33"/>
  <c r="Z38" i="33" s="1"/>
  <c r="J38" i="33"/>
  <c r="AC38" i="33"/>
  <c r="H38" i="33"/>
  <c r="AB38" i="33" s="1"/>
  <c r="F38" i="33"/>
  <c r="S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J30" i="21" s="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F35" i="39"/>
  <c r="AA35" i="39" s="1"/>
  <c r="J36" i="39"/>
  <c r="AC36" i="39" s="1"/>
  <c r="W40" i="39"/>
  <c r="W25" i="37"/>
  <c r="U30" i="37"/>
  <c r="W31" i="37"/>
  <c r="E103" i="37"/>
  <c r="F103" i="37"/>
  <c r="G103" i="37" s="1"/>
  <c r="H103" i="37" s="1"/>
  <c r="I103" i="37" s="1"/>
  <c r="J103" i="37" s="1"/>
  <c r="K103" i="37" s="1"/>
  <c r="L103" i="37" s="1"/>
  <c r="M103" i="37" s="1"/>
  <c r="F29" i="36"/>
  <c r="AA29" i="36" s="1"/>
  <c r="F16" i="36"/>
  <c r="AA16" i="36" s="1"/>
  <c r="W28" i="36"/>
  <c r="U31" i="36"/>
  <c r="H22" i="35"/>
  <c r="AB22" i="35" s="1"/>
  <c r="AC27" i="35"/>
  <c r="W28" i="35"/>
  <c r="U31" i="35"/>
  <c r="W22" i="35"/>
  <c r="S31" i="35"/>
  <c r="U34" i="35"/>
  <c r="F36" i="34"/>
  <c r="AA36" i="34" s="1"/>
  <c r="J35" i="34"/>
  <c r="W35" i="34" s="1"/>
  <c r="U34" i="34"/>
  <c r="H39" i="33"/>
  <c r="AB39" i="33"/>
  <c r="F26" i="33"/>
  <c r="AA26" i="33"/>
  <c r="U33" i="33"/>
  <c r="S40" i="33"/>
  <c r="W33" i="33"/>
  <c r="S27" i="35"/>
  <c r="F11" i="40"/>
  <c r="AA11" i="40"/>
  <c r="H11" i="40"/>
  <c r="AB11" i="40" s="1"/>
  <c r="W8" i="40"/>
  <c r="AB39"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J34" i="36"/>
  <c r="W34" i="36" s="1"/>
  <c r="U30" i="36"/>
  <c r="J30" i="35"/>
  <c r="W30" i="35" s="1"/>
  <c r="H30" i="35"/>
  <c r="AB30" i="35" s="1"/>
  <c r="F22" i="35"/>
  <c r="AA22" i="35" s="1"/>
  <c r="H10" i="35"/>
  <c r="U10" i="35" s="1"/>
  <c r="W30" i="36"/>
  <c r="H16" i="36"/>
  <c r="AB16" i="36" s="1"/>
  <c r="J85" i="36"/>
  <c r="K85" i="36" s="1"/>
  <c r="L85" i="36" s="1"/>
  <c r="M85" i="36" s="1"/>
  <c r="J29" i="36"/>
  <c r="AC29" i="36" s="1"/>
  <c r="F24" i="36"/>
  <c r="AA24" i="36"/>
  <c r="F14" i="35"/>
  <c r="AA14" i="35"/>
  <c r="F23" i="35"/>
  <c r="AA23" i="35" s="1"/>
  <c r="J32" i="35"/>
  <c r="AC32" i="35" s="1"/>
  <c r="J16" i="35"/>
  <c r="AC16" i="35"/>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J28" i="34"/>
  <c r="W28" i="34" s="1"/>
  <c r="F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AB30" i="36"/>
  <c r="F29" i="35"/>
  <c r="H29" i="35"/>
  <c r="AB29" i="35" s="1"/>
  <c r="H33" i="37"/>
  <c r="F33" i="37"/>
  <c r="AA33" i="37" s="1"/>
  <c r="U34" i="37"/>
  <c r="S34" i="37"/>
  <c r="AB42" i="34"/>
  <c r="J40" i="34"/>
  <c r="H38" i="34"/>
  <c r="AB38" i="34" s="1"/>
  <c r="J36" i="34"/>
  <c r="W36" i="34" s="1"/>
  <c r="H37" i="34"/>
  <c r="U37" i="34" s="1"/>
  <c r="H25" i="34"/>
  <c r="AB25" i="34" s="1"/>
  <c r="J25" i="34"/>
  <c r="AC25" i="34"/>
  <c r="F17" i="34"/>
  <c r="AA17" i="34" s="1"/>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J42" i="21"/>
  <c r="AC42" i="21" s="1"/>
  <c r="H42" i="21"/>
  <c r="U42" i="21" s="1"/>
  <c r="J44" i="34"/>
  <c r="W44" i="34" s="1"/>
  <c r="F44" i="34"/>
  <c r="AA44" i="34" s="1"/>
  <c r="J10" i="35"/>
  <c r="AC10" i="35" s="1"/>
  <c r="J14" i="21"/>
  <c r="W14" i="21"/>
  <c r="F14" i="21"/>
  <c r="S14" i="21" s="1"/>
  <c r="H14" i="21"/>
  <c r="U14" i="21" s="1"/>
  <c r="H28" i="21"/>
  <c r="AB28" i="21" s="1"/>
  <c r="F28" i="21"/>
  <c r="AA28" i="21"/>
  <c r="J28" i="21"/>
  <c r="W28" i="21" s="1"/>
  <c r="H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W30" i="33" s="1"/>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U46" i="33"/>
  <c r="J36" i="37"/>
  <c r="AC36" i="37"/>
  <c r="J10" i="36"/>
  <c r="AC10" i="36" s="1"/>
  <c r="AB26" i="33"/>
  <c r="AA14" i="37"/>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AZ554" i="3" s="1"/>
  <c r="BA552" i="3"/>
  <c r="AZ552" i="3" s="1"/>
  <c r="BA548" i="3"/>
  <c r="BA546" i="3"/>
  <c r="AZ546" i="3" s="1"/>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AZ494" i="3" s="1"/>
  <c r="BA587" i="3"/>
  <c r="BA583" i="3"/>
  <c r="BA581" i="3"/>
  <c r="BA579" i="3"/>
  <c r="BA577" i="3"/>
  <c r="BA575" i="3"/>
  <c r="BA573" i="3"/>
  <c r="BA571" i="3"/>
  <c r="AZ571" i="3" s="1"/>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U14" i="40"/>
  <c r="W23" i="35"/>
  <c r="U26" i="37"/>
  <c r="W47" i="34"/>
  <c r="AC36" i="34"/>
  <c r="AA13" i="33"/>
  <c r="AC45" i="33"/>
  <c r="U11" i="33"/>
  <c r="U19" i="21"/>
  <c r="W44" i="21"/>
  <c r="AB38" i="21"/>
  <c r="F43" i="33"/>
  <c r="AA43" i="33" s="1"/>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I7" i="34" s="1"/>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AZ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G181" i="3"/>
  <c r="BA183" i="3"/>
  <c r="BL184" i="3"/>
  <c r="AZ184" i="3" s="1"/>
  <c r="G185" i="3"/>
  <c r="BA187" i="3"/>
  <c r="AZ187" i="3" s="1"/>
  <c r="BL188" i="3"/>
  <c r="AZ188" i="3" s="1"/>
  <c r="G189" i="3"/>
  <c r="BA191" i="3"/>
  <c r="BL192" i="3"/>
  <c r="AZ192" i="3" s="1"/>
  <c r="G193" i="3"/>
  <c r="BA195" i="3"/>
  <c r="BL196" i="3"/>
  <c r="G197" i="3"/>
  <c r="BA199" i="3"/>
  <c r="AZ199" i="3" s="1"/>
  <c r="BL200" i="3"/>
  <c r="AZ200" i="3" s="1"/>
  <c r="G201" i="3"/>
  <c r="BA203" i="3"/>
  <c r="BL204" i="3"/>
  <c r="AZ144" i="3"/>
  <c r="AZ176"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AZ16" i="3"/>
  <c r="BL303" i="3"/>
  <c r="G304" i="3"/>
  <c r="BA306" i="3"/>
  <c r="BL307" i="3"/>
  <c r="G308" i="3"/>
  <c r="BA310" i="3"/>
  <c r="AZ310" i="3" s="1"/>
  <c r="BL311" i="3"/>
  <c r="AZ311" i="3" s="1"/>
  <c r="G312" i="3"/>
  <c r="BA314" i="3"/>
  <c r="BL315" i="3"/>
  <c r="AZ315" i="3" s="1"/>
  <c r="G316" i="3"/>
  <c r="BA318" i="3"/>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AZ387" i="3" s="1"/>
  <c r="BL388" i="3"/>
  <c r="G389" i="3"/>
  <c r="BA391" i="3"/>
  <c r="BL392" i="3"/>
  <c r="AZ392" i="3" s="1"/>
  <c r="G393" i="3"/>
  <c r="BO5" i="3"/>
  <c r="BM5" i="3"/>
  <c r="BJ5" i="3"/>
  <c r="BH5" i="3"/>
  <c r="BF5" i="3"/>
  <c r="BD5" i="3"/>
  <c r="AZ325" i="3"/>
  <c r="AZ506" i="3"/>
  <c r="AZ496" i="3"/>
  <c r="G548" i="3"/>
  <c r="G538" i="3"/>
  <c r="G520" i="3"/>
  <c r="G502" i="3"/>
  <c r="BS5" i="3"/>
  <c r="BP5" i="3"/>
  <c r="BN5" i="3"/>
  <c r="BK5" i="3"/>
  <c r="BI5" i="3"/>
  <c r="BG5" i="3"/>
  <c r="BE5" i="3"/>
  <c r="BC5" i="3"/>
  <c r="G17" i="3"/>
  <c r="BA17" i="3"/>
  <c r="BT5" i="3"/>
  <c r="BA15" i="3"/>
  <c r="BB5" i="3"/>
  <c r="BR5" i="3"/>
  <c r="AZ499" i="3"/>
  <c r="AZ509" i="3"/>
  <c r="BL493" i="3"/>
  <c r="AZ493" i="3" s="1"/>
  <c r="U36" i="40"/>
  <c r="F83" i="43"/>
  <c r="H85" i="43" s="1"/>
  <c r="F50" i="43"/>
  <c r="H54" i="43" s="1"/>
  <c r="F72" i="43"/>
  <c r="H75" i="43" s="1"/>
  <c r="U17" i="39"/>
  <c r="S14" i="35"/>
  <c r="U43" i="21"/>
  <c r="U35" i="21"/>
  <c r="AC35" i="21"/>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27" i="3"/>
  <c r="AZ240" i="3"/>
  <c r="AZ251" i="3"/>
  <c r="AZ50" i="3"/>
  <c r="AZ74" i="3"/>
  <c r="AZ94" i="3"/>
  <c r="F23" i="39"/>
  <c r="S23" i="39" s="1"/>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AB33" i="36"/>
  <c r="U33" i="36"/>
  <c r="AC12" i="39"/>
  <c r="W12" i="39"/>
  <c r="AC39" i="40"/>
  <c r="W39" i="40"/>
  <c r="W12" i="33"/>
  <c r="AC12" i="33"/>
  <c r="AA32" i="36"/>
  <c r="S32" i="36"/>
  <c r="AZ473" i="3"/>
  <c r="BL14" i="3"/>
  <c r="U30" i="33"/>
  <c r="AC13" i="34"/>
  <c r="AA47" i="34"/>
  <c r="W28" i="37"/>
  <c r="S19" i="39"/>
  <c r="F12" i="33"/>
  <c r="H12" i="39"/>
  <c r="AB12" i="39" s="1"/>
  <c r="F39" i="40"/>
  <c r="AA39" i="40" s="1"/>
  <c r="BA14" i="3"/>
  <c r="AZ224" i="3"/>
  <c r="AZ254" i="3"/>
  <c r="AZ189" i="3"/>
  <c r="B12" i="1"/>
  <c r="E12" i="1" s="1"/>
  <c r="B10" i="1"/>
  <c r="E10" i="1" s="1"/>
  <c r="K12" i="1"/>
  <c r="M12" i="1" s="1"/>
  <c r="S13" i="1"/>
  <c r="AR13" i="1" s="1"/>
  <c r="R13" i="1"/>
  <c r="J51" i="67"/>
  <c r="C42" i="1"/>
  <c r="AC34" i="33"/>
  <c r="AA34" i="33"/>
  <c r="B41" i="1"/>
  <c r="AB37" i="40"/>
  <c r="S35" i="40"/>
  <c r="U35" i="40"/>
  <c r="AC36" i="40"/>
  <c r="W38" i="40"/>
  <c r="AA32" i="40"/>
  <c r="S17" i="40"/>
  <c r="S23" i="40"/>
  <c r="AC17" i="40"/>
  <c r="AC15" i="40"/>
  <c r="AB27" i="40"/>
  <c r="AA19" i="40"/>
  <c r="S28" i="40"/>
  <c r="AA27" i="40"/>
  <c r="AB19" i="40"/>
  <c r="U37" i="39"/>
  <c r="S43" i="39"/>
  <c r="F32" i="39"/>
  <c r="F106" i="39"/>
  <c r="G106" i="39" s="1"/>
  <c r="H106" i="39" s="1"/>
  <c r="I106" i="39" s="1"/>
  <c r="J106" i="39" s="1"/>
  <c r="K106" i="39" s="1"/>
  <c r="L106" i="39" s="1"/>
  <c r="M106" i="39" s="1"/>
  <c r="U25" i="39"/>
  <c r="AB27" i="39"/>
  <c r="J21" i="39"/>
  <c r="W21" i="39" s="1"/>
  <c r="F21" i="39"/>
  <c r="G94" i="39"/>
  <c r="H21" i="39"/>
  <c r="AB21" i="39" s="1"/>
  <c r="W19" i="39"/>
  <c r="S17" i="39"/>
  <c r="S15" i="39"/>
  <c r="AA12" i="39"/>
  <c r="S9" i="39"/>
  <c r="U14" i="39"/>
  <c r="AC13" i="39"/>
  <c r="U12" i="39"/>
  <c r="S23" i="36"/>
  <c r="U13" i="36"/>
  <c r="U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37" i="34"/>
  <c r="U38" i="34"/>
  <c r="AC40" i="34"/>
  <c r="W40" i="34"/>
  <c r="AA8" i="34"/>
  <c r="S8" i="34"/>
  <c r="AB9" i="34"/>
  <c r="U9" i="34"/>
  <c r="S46" i="34"/>
  <c r="AA46" i="34"/>
  <c r="U32" i="34"/>
  <c r="AB32" i="34"/>
  <c r="U14" i="34"/>
  <c r="AB14" i="34"/>
  <c r="AC37" i="33"/>
  <c r="W46" i="33"/>
  <c r="U39" i="33"/>
  <c r="U38" i="33"/>
  <c r="S33" i="33"/>
  <c r="U44" i="33"/>
  <c r="AB44" i="33"/>
  <c r="S30" i="33"/>
  <c r="AA30" i="33"/>
  <c r="AC14" i="33"/>
  <c r="W14" i="33"/>
  <c r="AC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U21" i="39"/>
  <c r="AA21" i="39"/>
  <c r="S21" i="39"/>
  <c r="S17" i="37"/>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S25" i="33"/>
  <c r="AA25" i="33"/>
  <c r="G87" i="33"/>
  <c r="H87" i="33" s="1"/>
  <c r="I87" i="33" s="1"/>
  <c r="J87" i="33" s="1"/>
  <c r="K87" i="33" s="1"/>
  <c r="L87" i="33" s="1"/>
  <c r="M87" i="33" s="1"/>
  <c r="J25" i="33"/>
  <c r="W25" i="33" s="1"/>
  <c r="AB23" i="33"/>
  <c r="F23" i="33"/>
  <c r="G85" i="33"/>
  <c r="AA19" i="33"/>
  <c r="H19" i="33"/>
  <c r="G81" i="33"/>
  <c r="H17" i="33"/>
  <c r="U17" i="33" s="1"/>
  <c r="F17" i="33"/>
  <c r="S17" i="33" s="1"/>
  <c r="AC17" i="33"/>
  <c r="S37" i="21"/>
  <c r="AA23" i="21"/>
  <c r="AB15" i="21"/>
  <c r="J23" i="21"/>
  <c r="AC23" i="21" s="1"/>
  <c r="F85" i="21"/>
  <c r="G85" i="21" s="1"/>
  <c r="H23" i="21"/>
  <c r="AB23" i="21" s="1"/>
  <c r="AP7" i="1"/>
  <c r="AB45" i="21"/>
  <c r="AA32" i="21"/>
  <c r="S32" i="21"/>
  <c r="AB32" i="21"/>
  <c r="U32" i="21"/>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F38" i="15"/>
  <c r="B11" i="76"/>
  <c r="B7" i="76"/>
  <c r="B9" i="76"/>
  <c r="B12" i="76"/>
  <c r="E11" i="76"/>
  <c r="F6" i="73"/>
  <c r="E2" i="68"/>
  <c r="F9" i="67"/>
  <c r="E10" i="76"/>
  <c r="D6" i="73"/>
  <c r="M6" i="15"/>
  <c r="E7" i="76"/>
  <c r="J15" i="15"/>
  <c r="E9" i="76"/>
  <c r="F7" i="73"/>
  <c r="M26" i="15"/>
  <c r="L48" i="15"/>
  <c r="E2" i="69"/>
  <c r="M8" i="15"/>
  <c r="F43" i="15"/>
  <c r="F5" i="73"/>
  <c r="F13" i="15"/>
  <c r="F42" i="15"/>
  <c r="B13" i="76"/>
  <c r="F3" i="73"/>
  <c r="F40" i="15"/>
  <c r="E13" i="76"/>
  <c r="M29" i="15"/>
  <c r="E8" i="76"/>
  <c r="AO13" i="1"/>
  <c r="C76" i="15"/>
  <c r="F8" i="15"/>
  <c r="F26" i="15"/>
  <c r="F16" i="15"/>
  <c r="F20" i="31"/>
  <c r="F36" i="15"/>
  <c r="F7" i="67"/>
  <c r="E12" i="76"/>
  <c r="B10" i="76"/>
  <c r="F9" i="15"/>
  <c r="B8" i="76"/>
  <c r="F4" i="73"/>
  <c r="L47" i="15"/>
  <c r="M28" i="15"/>
  <c r="F6" i="15"/>
  <c r="M24" i="15"/>
  <c r="F42" i="67"/>
  <c r="AZ175" i="3" l="1"/>
  <c r="S20" i="36"/>
  <c r="AC11" i="39"/>
  <c r="AZ391" i="3"/>
  <c r="AZ349" i="3"/>
  <c r="AZ318" i="3"/>
  <c r="AZ364" i="3"/>
  <c r="AZ329" i="3"/>
  <c r="AZ203" i="3"/>
  <c r="AZ139" i="3"/>
  <c r="AZ306" i="3"/>
  <c r="AC31" i="33"/>
  <c r="AZ523" i="3"/>
  <c r="AZ547" i="3"/>
  <c r="AZ529" i="3"/>
  <c r="AZ537" i="3"/>
  <c r="AZ548" i="3"/>
  <c r="AZ556" i="3"/>
  <c r="J27" i="21"/>
  <c r="H27" i="21"/>
  <c r="F27" i="21"/>
  <c r="AC15" i="21"/>
  <c r="U23" i="21"/>
  <c r="W23" i="21"/>
  <c r="AA17" i="33"/>
  <c r="AC9" i="21"/>
  <c r="U9" i="21"/>
  <c r="D6" i="52"/>
  <c r="AB27" i="33"/>
  <c r="AA23" i="37"/>
  <c r="U41" i="39"/>
  <c r="C24" i="12"/>
  <c r="C77" i="83"/>
  <c r="C74" i="83" s="1"/>
  <c r="G509" i="3"/>
  <c r="AZ322" i="3"/>
  <c r="AZ143" i="3"/>
  <c r="AZ124" i="3"/>
  <c r="AZ557" i="3"/>
  <c r="AZ513" i="3"/>
  <c r="AZ575" i="3"/>
  <c r="AZ585" i="3"/>
  <c r="U30" i="21"/>
  <c r="AB30" i="21"/>
  <c r="W39" i="33"/>
  <c r="AC39" i="33"/>
  <c r="H28" i="33"/>
  <c r="J28" i="33"/>
  <c r="F28" i="33"/>
  <c r="AZ370" i="3"/>
  <c r="U32" i="39"/>
  <c r="S13" i="21"/>
  <c r="AA19" i="37"/>
  <c r="AC17" i="37"/>
  <c r="AB25" i="21"/>
  <c r="AB34" i="33"/>
  <c r="AA40" i="34"/>
  <c r="W43" i="33"/>
  <c r="S42" i="33"/>
  <c r="S27" i="33"/>
  <c r="AA29" i="34"/>
  <c r="AB31" i="37"/>
  <c r="AB20" i="36"/>
  <c r="AA26" i="36"/>
  <c r="U19" i="39"/>
  <c r="U21" i="40"/>
  <c r="F48" i="9"/>
  <c r="O52" i="9" s="1"/>
  <c r="F52" i="83"/>
  <c r="D68" i="83"/>
  <c r="F54" i="83"/>
  <c r="F48" i="83"/>
  <c r="O52" i="83" s="1"/>
  <c r="F53" i="83"/>
  <c r="F28" i="80"/>
  <c r="C28" i="80" s="1"/>
  <c r="M18" i="80"/>
  <c r="F32" i="80"/>
  <c r="F60" i="80" s="1"/>
  <c r="AZ345" i="3"/>
  <c r="AZ334" i="3"/>
  <c r="AZ372" i="3"/>
  <c r="AZ347" i="3"/>
  <c r="AZ337" i="3"/>
  <c r="AZ376" i="3"/>
  <c r="AZ324" i="3"/>
  <c r="AZ309" i="3"/>
  <c r="AA11" i="39"/>
  <c r="AC12" i="37"/>
  <c r="W40" i="37"/>
  <c r="W44" i="33"/>
  <c r="AZ535" i="3"/>
  <c r="AZ574" i="3"/>
  <c r="AZ540" i="3"/>
  <c r="AZ502" i="3"/>
  <c r="AA14" i="34"/>
  <c r="AA14" i="33"/>
  <c r="AA41" i="33"/>
  <c r="S41" i="33"/>
  <c r="AA40" i="21"/>
  <c r="S40" i="21"/>
  <c r="AZ366" i="3"/>
  <c r="AZ579" i="3"/>
  <c r="W11" i="35"/>
  <c r="AC11" i="35"/>
  <c r="U46" i="34"/>
  <c r="AB46" i="34"/>
  <c r="G586" i="3"/>
  <c r="AB35" i="33"/>
  <c r="U35" i="33"/>
  <c r="E86" i="34"/>
  <c r="F86" i="34" s="1"/>
  <c r="G86" i="34" s="1"/>
  <c r="H23" i="34"/>
  <c r="AB23" i="34" s="1"/>
  <c r="F23" i="34"/>
  <c r="J23" i="34"/>
  <c r="W23" i="34" s="1"/>
  <c r="AZ573" i="3"/>
  <c r="AZ583" i="3"/>
  <c r="AZ568" i="3"/>
  <c r="AZ576" i="3"/>
  <c r="BL585" i="3"/>
  <c r="B75" i="43"/>
  <c r="AA38" i="33"/>
  <c r="W41" i="33"/>
  <c r="H34" i="36"/>
  <c r="J33" i="36"/>
  <c r="AC33" i="36" s="1"/>
  <c r="F33" i="36"/>
  <c r="H25" i="37"/>
  <c r="AB9" i="39"/>
  <c r="U9" i="39"/>
  <c r="AA34" i="40"/>
  <c r="S34" i="40"/>
  <c r="S29" i="35"/>
  <c r="AA29" i="35"/>
  <c r="F12" i="36"/>
  <c r="F80" i="34"/>
  <c r="G80" i="34" s="1"/>
  <c r="H17" i="34"/>
  <c r="U17" i="34" s="1"/>
  <c r="J17" i="34"/>
  <c r="W17" i="34" s="1"/>
  <c r="J12" i="34"/>
  <c r="H12" i="34"/>
  <c r="H31" i="39"/>
  <c r="J31" i="39"/>
  <c r="J37" i="39"/>
  <c r="F37" i="39"/>
  <c r="BL550" i="3"/>
  <c r="H39" i="37"/>
  <c r="F39" i="37"/>
  <c r="S39" i="37" s="1"/>
  <c r="F9" i="34"/>
  <c r="AA9" i="34" s="1"/>
  <c r="J9" i="34"/>
  <c r="AC9" i="34" s="1"/>
  <c r="J27" i="34"/>
  <c r="W27" i="34" s="1"/>
  <c r="H12" i="36"/>
  <c r="H35" i="39"/>
  <c r="S38" i="34"/>
  <c r="AA38" i="34"/>
  <c r="AZ443" i="3"/>
  <c r="BA551" i="3"/>
  <c r="AZ551" i="3" s="1"/>
  <c r="BA550" i="3"/>
  <c r="AZ550" i="3" s="1"/>
  <c r="BL548" i="3"/>
  <c r="V25" i="31"/>
  <c r="B15" i="74"/>
  <c r="B22" i="31"/>
  <c r="D78" i="9"/>
  <c r="D93" i="83"/>
  <c r="D78" i="83"/>
  <c r="AZ405" i="3"/>
  <c r="AZ407" i="3"/>
  <c r="AZ419" i="3"/>
  <c r="AZ448" i="3"/>
  <c r="AZ458" i="3"/>
  <c r="AZ462" i="3"/>
  <c r="AZ469" i="3"/>
  <c r="AZ476" i="3"/>
  <c r="E66" i="71"/>
  <c r="P67" i="71"/>
  <c r="AB27" i="71"/>
  <c r="F27" i="71"/>
  <c r="F26" i="71" s="1"/>
  <c r="AB26" i="71"/>
  <c r="V24" i="71"/>
  <c r="E23" i="71"/>
  <c r="E22" i="71" s="1"/>
  <c r="E21" i="71" s="1"/>
  <c r="E20" i="71" s="1"/>
  <c r="AA3" i="71"/>
  <c r="G585" i="3"/>
  <c r="BL587" i="3"/>
  <c r="AZ587" i="3" s="1"/>
  <c r="BL586" i="3"/>
  <c r="AZ586" i="3" s="1"/>
  <c r="G574" i="3"/>
  <c r="M18" i="83"/>
  <c r="B118" i="83" s="1"/>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BA440" i="3"/>
  <c r="AZ440" i="3" s="1"/>
  <c r="BA442" i="3"/>
  <c r="AZ442" i="3" s="1"/>
  <c r="BA445" i="3"/>
  <c r="BA447" i="3"/>
  <c r="AZ447" i="3" s="1"/>
  <c r="BA449" i="3"/>
  <c r="AZ449" i="3" s="1"/>
  <c r="BL453" i="3"/>
  <c r="BL454" i="3"/>
  <c r="G464" i="3"/>
  <c r="BL464" i="3"/>
  <c r="BL467" i="3"/>
  <c r="BL468" i="3"/>
  <c r="BL471" i="3"/>
  <c r="BL475" i="3"/>
  <c r="BA477" i="3"/>
  <c r="AZ477" i="3" s="1"/>
  <c r="BA478" i="3"/>
  <c r="BA487" i="3"/>
  <c r="AZ487" i="3" s="1"/>
  <c r="G491" i="3"/>
  <c r="BA303" i="3"/>
  <c r="AZ303" i="3" s="1"/>
  <c r="BA307" i="3"/>
  <c r="AZ307" i="3" s="1"/>
  <c r="G311" i="3"/>
  <c r="BL314" i="3"/>
  <c r="AZ314" i="3" s="1"/>
  <c r="G315" i="3"/>
  <c r="G323" i="3"/>
  <c r="BA333" i="3"/>
  <c r="AZ228" i="3"/>
  <c r="AZ294" i="3"/>
  <c r="G14" i="3"/>
  <c r="C25" i="31"/>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BA446" i="3"/>
  <c r="BA450" i="3"/>
  <c r="BA453" i="3"/>
  <c r="AZ453" i="3" s="1"/>
  <c r="BA455" i="3"/>
  <c r="BL455" i="3"/>
  <c r="BA457" i="3"/>
  <c r="BA459" i="3"/>
  <c r="AZ459" i="3" s="1"/>
  <c r="BA460" i="3"/>
  <c r="BA461" i="3"/>
  <c r="AZ464" i="3"/>
  <c r="BA467" i="3"/>
  <c r="BA468" i="3"/>
  <c r="BL479" i="3"/>
  <c r="BL480" i="3"/>
  <c r="AZ480" i="3" s="1"/>
  <c r="BA483" i="3"/>
  <c r="BL483" i="3"/>
  <c r="BA486" i="3"/>
  <c r="BA491" i="3"/>
  <c r="AZ491" i="3" s="1"/>
  <c r="BA319" i="3"/>
  <c r="AZ319" i="3" s="1"/>
  <c r="G558" i="3"/>
  <c r="M20" i="15"/>
  <c r="F34" i="80"/>
  <c r="F62" i="80" s="1"/>
  <c r="M20" i="80"/>
  <c r="BL15" i="3"/>
  <c r="AZ15" i="3" s="1"/>
  <c r="A15" i="62"/>
  <c r="B61" i="72" s="1"/>
  <c r="BA398" i="3"/>
  <c r="BA399" i="3"/>
  <c r="AZ399" i="3" s="1"/>
  <c r="BL401" i="3"/>
  <c r="AZ401" i="3" s="1"/>
  <c r="BL404" i="3"/>
  <c r="AZ404" i="3" s="1"/>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AZ441" i="3" s="1"/>
  <c r="BL442" i="3"/>
  <c r="BL444" i="3"/>
  <c r="AZ444" i="3" s="1"/>
  <c r="G446" i="3"/>
  <c r="G447" i="3"/>
  <c r="BL448" i="3"/>
  <c r="G450" i="3"/>
  <c r="G451" i="3"/>
  <c r="BA454" i="3"/>
  <c r="AZ454" i="3" s="1"/>
  <c r="BL456" i="3"/>
  <c r="BA465" i="3"/>
  <c r="AZ465" i="3" s="1"/>
  <c r="BL469" i="3"/>
  <c r="BL476" i="3"/>
  <c r="BL477" i="3"/>
  <c r="BL478" i="3"/>
  <c r="G479" i="3"/>
  <c r="BA482" i="3"/>
  <c r="BA484" i="3"/>
  <c r="AZ484" i="3" s="1"/>
  <c r="BA488" i="3"/>
  <c r="AZ488" i="3" s="1"/>
  <c r="BL316" i="3"/>
  <c r="BL324" i="3"/>
  <c r="BL328" i="3"/>
  <c r="AZ328" i="3" s="1"/>
  <c r="BL350" i="3"/>
  <c r="BA367" i="3"/>
  <c r="AZ367" i="3" s="1"/>
  <c r="BA370" i="3"/>
  <c r="BA386" i="3"/>
  <c r="AZ386" i="3" s="1"/>
  <c r="BL212" i="3"/>
  <c r="AZ212" i="3" s="1"/>
  <c r="BL220" i="3"/>
  <c r="BL221" i="3"/>
  <c r="BL223" i="3"/>
  <c r="BL225" i="3"/>
  <c r="BL226" i="3"/>
  <c r="BA249" i="3"/>
  <c r="BL249" i="3"/>
  <c r="BA252" i="3"/>
  <c r="AZ252" i="3" s="1"/>
  <c r="BL260" i="3"/>
  <c r="BL263" i="3"/>
  <c r="BA268" i="3"/>
  <c r="AZ270" i="3"/>
  <c r="BA272" i="3"/>
  <c r="AZ272" i="3" s="1"/>
  <c r="BA290" i="3"/>
  <c r="AZ201" i="3"/>
  <c r="X26" i="71"/>
  <c r="B28" i="71"/>
  <c r="Y29" i="71"/>
  <c r="Z29" i="71" s="1"/>
  <c r="Y27" i="71"/>
  <c r="Z27" i="71" s="1"/>
  <c r="C30" i="71"/>
  <c r="Y28" i="71"/>
  <c r="Z28" i="71" s="1"/>
  <c r="X28" i="71"/>
  <c r="X31" i="71"/>
  <c r="D42" i="71"/>
  <c r="C43" i="71"/>
  <c r="F66" i="71"/>
  <c r="Q66" i="71" s="1"/>
  <c r="Q67" i="71"/>
  <c r="BA335" i="3"/>
  <c r="AZ335" i="3" s="1"/>
  <c r="BA339" i="3"/>
  <c r="AZ339" i="3" s="1"/>
  <c r="BA348" i="3"/>
  <c r="BA350" i="3"/>
  <c r="BA354" i="3"/>
  <c r="BA366" i="3"/>
  <c r="BL375" i="3"/>
  <c r="AZ375" i="3" s="1"/>
  <c r="BL385" i="3"/>
  <c r="BA397" i="3"/>
  <c r="BL397" i="3"/>
  <c r="BA210" i="3"/>
  <c r="AZ210" i="3" s="1"/>
  <c r="BL210" i="3"/>
  <c r="BA214" i="3"/>
  <c r="AZ214" i="3" s="1"/>
  <c r="BL215" i="3"/>
  <c r="BA218" i="3"/>
  <c r="AZ218" i="3" s="1"/>
  <c r="BL218" i="3"/>
  <c r="BL231" i="3"/>
  <c r="BL233" i="3"/>
  <c r="AZ233" i="3" s="1"/>
  <c r="BL235" i="3"/>
  <c r="AZ235" i="3" s="1"/>
  <c r="BL236" i="3"/>
  <c r="BL238" i="3"/>
  <c r="BL243" i="3"/>
  <c r="BA247" i="3"/>
  <c r="AZ247" i="3" s="1"/>
  <c r="BL247" i="3"/>
  <c r="BL264" i="3"/>
  <c r="BL266" i="3"/>
  <c r="BL269" i="3"/>
  <c r="BL270" i="3"/>
  <c r="BA275" i="3"/>
  <c r="AZ275" i="3" s="1"/>
  <c r="BA278" i="3"/>
  <c r="AZ278" i="3" s="1"/>
  <c r="BA280" i="3"/>
  <c r="AZ280" i="3" s="1"/>
  <c r="G283" i="3"/>
  <c r="BL283" i="3"/>
  <c r="AZ283" i="3" s="1"/>
  <c r="BL284" i="3"/>
  <c r="G285" i="3"/>
  <c r="BL287" i="3"/>
  <c r="BL292" i="3"/>
  <c r="BA122" i="3"/>
  <c r="AZ122" i="3" s="1"/>
  <c r="G158" i="3"/>
  <c r="G164" i="3"/>
  <c r="BL195" i="3"/>
  <c r="AZ195" i="3" s="1"/>
  <c r="BL64" i="3"/>
  <c r="AZ64" i="3" s="1"/>
  <c r="BL457" i="3"/>
  <c r="BL460" i="3"/>
  <c r="BL461" i="3"/>
  <c r="BL463" i="3"/>
  <c r="G465" i="3"/>
  <c r="BA471" i="3"/>
  <c r="G486" i="3"/>
  <c r="G488" i="3"/>
  <c r="BL317" i="3"/>
  <c r="G318" i="3"/>
  <c r="BA349" i="3"/>
  <c r="BA353" i="3"/>
  <c r="BL353" i="3"/>
  <c r="BA358" i="3"/>
  <c r="AZ358" i="3" s="1"/>
  <c r="G362" i="3"/>
  <c r="BL365" i="3"/>
  <c r="AZ365" i="3" s="1"/>
  <c r="G366" i="3"/>
  <c r="BA368" i="3"/>
  <c r="BL368" i="3"/>
  <c r="BA374" i="3"/>
  <c r="AZ374" i="3" s="1"/>
  <c r="BA388" i="3"/>
  <c r="AZ388" i="3" s="1"/>
  <c r="BA212" i="3"/>
  <c r="BL213" i="3"/>
  <c r="BA216" i="3"/>
  <c r="AZ216" i="3" s="1"/>
  <c r="BA225" i="3"/>
  <c r="AZ225" i="3" s="1"/>
  <c r="BA226" i="3"/>
  <c r="BA229" i="3"/>
  <c r="BL229" i="3"/>
  <c r="BA239" i="3"/>
  <c r="AZ239" i="3" s="1"/>
  <c r="BL239" i="3"/>
  <c r="BA241" i="3"/>
  <c r="BL241" i="3"/>
  <c r="BA244" i="3"/>
  <c r="AZ244" i="3" s="1"/>
  <c r="BL244" i="3"/>
  <c r="BA246" i="3"/>
  <c r="G251" i="3"/>
  <c r="BA253" i="3"/>
  <c r="BA256" i="3"/>
  <c r="BL256" i="3"/>
  <c r="BA258" i="3"/>
  <c r="BL267" i="3"/>
  <c r="G269" i="3"/>
  <c r="BA273" i="3"/>
  <c r="AZ273" i="3" s="1"/>
  <c r="BA291" i="3"/>
  <c r="BL295" i="3"/>
  <c r="BA298" i="3"/>
  <c r="AZ298" i="3" s="1"/>
  <c r="BL301" i="3"/>
  <c r="AZ301" i="3" s="1"/>
  <c r="BL302" i="3"/>
  <c r="BA114" i="3"/>
  <c r="BA125" i="3"/>
  <c r="AZ125" i="3" s="1"/>
  <c r="G134" i="3"/>
  <c r="G144" i="3"/>
  <c r="BA149" i="3"/>
  <c r="AZ149" i="3" s="1"/>
  <c r="BL175" i="3"/>
  <c r="G184" i="3"/>
  <c r="G202" i="3"/>
  <c r="BA30" i="3"/>
  <c r="BA40" i="3"/>
  <c r="AZ65" i="3"/>
  <c r="BL69" i="3"/>
  <c r="AZ69" i="3" s="1"/>
  <c r="D83" i="71"/>
  <c r="C82" i="71"/>
  <c r="D82" i="71" s="1"/>
  <c r="D75" i="71"/>
  <c r="C74" i="71"/>
  <c r="D74" i="71" s="1"/>
  <c r="D71" i="71"/>
  <c r="C70" i="71"/>
  <c r="D70" i="71" s="1"/>
  <c r="D34" i="71"/>
  <c r="C35" i="71"/>
  <c r="BL273" i="3"/>
  <c r="BA277" i="3"/>
  <c r="BL277" i="3"/>
  <c r="BA282" i="3"/>
  <c r="AZ282" i="3" s="1"/>
  <c r="BL282" i="3"/>
  <c r="BA284" i="3"/>
  <c r="BL290" i="3"/>
  <c r="AZ290" i="3" s="1"/>
  <c r="BL291" i="3"/>
  <c r="BL293" i="3"/>
  <c r="BL294" i="3"/>
  <c r="BA297" i="3"/>
  <c r="BL297" i="3"/>
  <c r="BL300" i="3"/>
  <c r="BA302" i="3"/>
  <c r="BA117" i="3"/>
  <c r="BA130" i="3"/>
  <c r="AZ130" i="3" s="1"/>
  <c r="BL130" i="3"/>
  <c r="BA137" i="3"/>
  <c r="AZ137" i="3" s="1"/>
  <c r="BL138" i="3"/>
  <c r="BA140" i="3"/>
  <c r="AZ140" i="3" s="1"/>
  <c r="BA142" i="3"/>
  <c r="BL149" i="3"/>
  <c r="BL150" i="3"/>
  <c r="BA152" i="3"/>
  <c r="AZ152" i="3" s="1"/>
  <c r="BA154" i="3"/>
  <c r="AZ154" i="3" s="1"/>
  <c r="BA160" i="3"/>
  <c r="AZ160" i="3" s="1"/>
  <c r="BL162" i="3"/>
  <c r="AZ162" i="3" s="1"/>
  <c r="BL165" i="3"/>
  <c r="BL170" i="3"/>
  <c r="BA173" i="3"/>
  <c r="AZ173" i="3" s="1"/>
  <c r="BA174" i="3"/>
  <c r="BL179" i="3"/>
  <c r="AZ179" i="3" s="1"/>
  <c r="BA181" i="3"/>
  <c r="AZ181" i="3" s="1"/>
  <c r="BA182" i="3"/>
  <c r="BL185" i="3"/>
  <c r="AZ185" i="3" s="1"/>
  <c r="BL193" i="3"/>
  <c r="BL194" i="3"/>
  <c r="AZ194" i="3" s="1"/>
  <c r="BA198" i="3"/>
  <c r="AZ198" i="3" s="1"/>
  <c r="G199" i="3"/>
  <c r="G205" i="3"/>
  <c r="BL206" i="3"/>
  <c r="BA19" i="3"/>
  <c r="AZ19" i="3" s="1"/>
  <c r="G27" i="3"/>
  <c r="BA27" i="3"/>
  <c r="AZ27" i="3" s="1"/>
  <c r="BL30" i="3"/>
  <c r="BL31" i="3"/>
  <c r="AZ31" i="3" s="1"/>
  <c r="G37" i="3"/>
  <c r="BL47" i="3"/>
  <c r="AZ47" i="3" s="1"/>
  <c r="G50" i="3"/>
  <c r="G52" i="3"/>
  <c r="BA52" i="3"/>
  <c r="AZ52" i="3" s="1"/>
  <c r="BL54" i="3"/>
  <c r="BL76" i="3"/>
  <c r="G81" i="3"/>
  <c r="C25" i="40"/>
  <c r="B88" i="43"/>
  <c r="AB35" i="71"/>
  <c r="V80" i="71"/>
  <c r="F79" i="71"/>
  <c r="F78" i="71" s="1"/>
  <c r="BA396" i="3"/>
  <c r="BA209" i="3"/>
  <c r="BL217" i="3"/>
  <c r="AZ217" i="3" s="1"/>
  <c r="BA219" i="3"/>
  <c r="AZ219" i="3" s="1"/>
  <c r="BA221" i="3"/>
  <c r="BA223" i="3"/>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BA269" i="3"/>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AZ18" i="3" s="1"/>
  <c r="G21" i="3"/>
  <c r="BL21" i="3"/>
  <c r="G23" i="3"/>
  <c r="G29" i="3"/>
  <c r="BL29" i="3"/>
  <c r="G33" i="3"/>
  <c r="G34" i="3"/>
  <c r="BA37" i="3"/>
  <c r="G39" i="3"/>
  <c r="BL39" i="3"/>
  <c r="BA42" i="3"/>
  <c r="G47" i="3"/>
  <c r="BL48" i="3"/>
  <c r="BA55" i="3"/>
  <c r="AZ55" i="3" s="1"/>
  <c r="BA56" i="3"/>
  <c r="AZ56" i="3" s="1"/>
  <c r="BA57" i="3"/>
  <c r="AZ57" i="3" s="1"/>
  <c r="BL58" i="3"/>
  <c r="BA60" i="3"/>
  <c r="BA63" i="3"/>
  <c r="BA66" i="3"/>
  <c r="AZ66" i="3" s="1"/>
  <c r="BA71" i="3"/>
  <c r="G76" i="3"/>
  <c r="BL82" i="3"/>
  <c r="AZ82" i="3" s="1"/>
  <c r="G92" i="3"/>
  <c r="BA95" i="3"/>
  <c r="F40" i="68"/>
  <c r="C40" i="68"/>
  <c r="D46" i="71"/>
  <c r="T28" i="71"/>
  <c r="D28" i="71"/>
  <c r="U28" i="71" s="1"/>
  <c r="C27" i="71"/>
  <c r="X34" i="71"/>
  <c r="B43" i="71"/>
  <c r="B44" i="71" s="1"/>
  <c r="S44" i="71" s="1"/>
  <c r="C52" i="71"/>
  <c r="D51" i="71"/>
  <c r="C55" i="71"/>
  <c r="D54" i="71"/>
  <c r="C23" i="71"/>
  <c r="B22" i="71"/>
  <c r="B21" i="71" s="1"/>
  <c r="B20" i="71" s="1"/>
  <c r="BL134" i="3"/>
  <c r="AZ134" i="3" s="1"/>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BA25" i="3"/>
  <c r="AZ25" i="3" s="1"/>
  <c r="BA26" i="3"/>
  <c r="G28" i="3"/>
  <c r="BL28" i="3"/>
  <c r="AZ28" i="3" s="1"/>
  <c r="BA29" i="3"/>
  <c r="AZ29" i="3" s="1"/>
  <c r="BA36" i="3"/>
  <c r="BL38" i="3"/>
  <c r="AZ38" i="3" s="1"/>
  <c r="BA39" i="3"/>
  <c r="BL52" i="3"/>
  <c r="G53" i="3"/>
  <c r="BL53" i="3"/>
  <c r="AZ53" i="3" s="1"/>
  <c r="BL57" i="3"/>
  <c r="G62" i="3"/>
  <c r="BL62" i="3"/>
  <c r="AZ62" i="3" s="1"/>
  <c r="BL63" i="3"/>
  <c r="G65" i="3"/>
  <c r="BL65" i="3"/>
  <c r="BL66" i="3"/>
  <c r="BL67" i="3"/>
  <c r="AZ67" i="3" s="1"/>
  <c r="G69" i="3"/>
  <c r="G70" i="3"/>
  <c r="BL70" i="3"/>
  <c r="AZ70" i="3" s="1"/>
  <c r="BL71" i="3"/>
  <c r="BL72" i="3"/>
  <c r="AZ72" i="3" s="1"/>
  <c r="G74" i="3"/>
  <c r="G75" i="3"/>
  <c r="BL75" i="3"/>
  <c r="AZ75" i="3" s="1"/>
  <c r="AC29" i="39"/>
  <c r="W29" i="39"/>
  <c r="S18" i="35"/>
  <c r="AA18" i="35"/>
  <c r="T60" i="71"/>
  <c r="D60" i="71"/>
  <c r="O65" i="71"/>
  <c r="O66" i="71"/>
  <c r="D66" i="71"/>
  <c r="C40" i="71"/>
  <c r="D39" i="71"/>
  <c r="AB32" i="71"/>
  <c r="AB28" i="71"/>
  <c r="E34" i="71"/>
  <c r="E35" i="71" s="1"/>
  <c r="E36" i="71" s="1"/>
  <c r="U36" i="71" s="1"/>
  <c r="AA30" i="71"/>
  <c r="B38" i="71"/>
  <c r="B39" i="71" s="1"/>
  <c r="B40" i="71" s="1"/>
  <c r="S40" i="71" s="1"/>
  <c r="X36" i="71"/>
  <c r="AB38" i="71"/>
  <c r="AB34" i="71"/>
  <c r="AB33" i="71"/>
  <c r="C63" i="71"/>
  <c r="D62" i="71"/>
  <c r="P68" i="71"/>
  <c r="U68" i="71"/>
  <c r="S72" i="71"/>
  <c r="B71" i="71"/>
  <c r="B70" i="71" s="1"/>
  <c r="V72" i="71"/>
  <c r="F71" i="71"/>
  <c r="F70" i="71" s="1"/>
  <c r="D88" i="71"/>
  <c r="C87" i="71"/>
  <c r="Y25" i="71"/>
  <c r="Z25" i="71" s="1"/>
  <c r="Y26" i="71"/>
  <c r="Z26" i="71" s="1"/>
  <c r="BL85" i="3"/>
  <c r="BA86" i="3"/>
  <c r="AZ86" i="3" s="1"/>
  <c r="BA87" i="3"/>
  <c r="BA91" i="3"/>
  <c r="AZ91" i="3" s="1"/>
  <c r="BL97" i="3"/>
  <c r="AZ97" i="3" s="1"/>
  <c r="BL101" i="3"/>
  <c r="BL102" i="3"/>
  <c r="AZ102" i="3" s="1"/>
  <c r="G105" i="3"/>
  <c r="BL106" i="3"/>
  <c r="BA108" i="3"/>
  <c r="BA110" i="3"/>
  <c r="AZ110" i="3" s="1"/>
  <c r="G1" i="80"/>
  <c r="AA34" i="71"/>
  <c r="B51" i="71"/>
  <c r="B52" i="71" s="1"/>
  <c r="S52" i="71" s="1"/>
  <c r="E51" i="71"/>
  <c r="E52" i="71" s="1"/>
  <c r="U52" i="71" s="1"/>
  <c r="S68" i="71"/>
  <c r="S76" i="71"/>
  <c r="G40" i="3"/>
  <c r="BL40" i="3"/>
  <c r="BL41" i="3"/>
  <c r="AZ41" i="3" s="1"/>
  <c r="G45" i="3"/>
  <c r="BL45" i="3"/>
  <c r="AZ45" i="3" s="1"/>
  <c r="BA48" i="3"/>
  <c r="BA49" i="3"/>
  <c r="AZ49" i="3" s="1"/>
  <c r="BA51" i="3"/>
  <c r="AZ51" i="3" s="1"/>
  <c r="G54" i="3"/>
  <c r="G55" i="3"/>
  <c r="BL56" i="3"/>
  <c r="BA58" i="3"/>
  <c r="AZ58" i="3" s="1"/>
  <c r="BL59" i="3"/>
  <c r="AZ59" i="3" s="1"/>
  <c r="BL60" i="3"/>
  <c r="AZ60" i="3" s="1"/>
  <c r="BA61" i="3"/>
  <c r="AZ61" i="3" s="1"/>
  <c r="BA68" i="3"/>
  <c r="BA73" i="3"/>
  <c r="BA80" i="3"/>
  <c r="G84" i="3"/>
  <c r="BL84" i="3"/>
  <c r="BA89" i="3"/>
  <c r="G99" i="3"/>
  <c r="G103" i="3"/>
  <c r="BA103" i="3"/>
  <c r="AZ103" i="3" s="1"/>
  <c r="BA104" i="3"/>
  <c r="BA106" i="3"/>
  <c r="BL108" i="3"/>
  <c r="G110" i="3"/>
  <c r="BL111" i="3"/>
  <c r="AZ111" i="3" s="1"/>
  <c r="M47" i="83"/>
  <c r="J51" i="80"/>
  <c r="C51" i="10"/>
  <c r="A13" i="51" s="1"/>
  <c r="B11" i="72" s="1"/>
  <c r="A2" i="83"/>
  <c r="A118" i="83"/>
  <c r="B32" i="71"/>
  <c r="S32" i="71" s="1"/>
  <c r="AB31" i="71"/>
  <c r="AB36" i="71"/>
  <c r="B55" i="71"/>
  <c r="B56" i="71" s="1"/>
  <c r="S56" i="71" s="1"/>
  <c r="BL77" i="3"/>
  <c r="AZ77" i="3" s="1"/>
  <c r="BA79" i="3"/>
  <c r="AZ79" i="3" s="1"/>
  <c r="G82" i="3"/>
  <c r="G83" i="3"/>
  <c r="BA84" i="3"/>
  <c r="AZ84" i="3" s="1"/>
  <c r="BL88" i="3"/>
  <c r="AZ88" i="3" s="1"/>
  <c r="G90" i="3"/>
  <c r="BL90" i="3"/>
  <c r="AZ90" i="3" s="1"/>
  <c r="BL92" i="3"/>
  <c r="AZ92" i="3" s="1"/>
  <c r="BA101" i="3"/>
  <c r="G108" i="3"/>
  <c r="BL112" i="3"/>
  <c r="S21" i="37"/>
  <c r="B68" i="43"/>
  <c r="O67" i="71"/>
  <c r="AA28" i="71"/>
  <c r="AB25" i="71"/>
  <c r="N68" i="71"/>
  <c r="E38" i="71"/>
  <c r="E39" i="71" s="1"/>
  <c r="E40" i="71" s="1"/>
  <c r="U40" i="71" s="1"/>
  <c r="X33" i="71"/>
  <c r="AB37" i="71"/>
  <c r="M56" i="9"/>
  <c r="J56" i="83"/>
  <c r="J57" i="83" s="1"/>
  <c r="J59" i="83" s="1"/>
  <c r="J61" i="83" s="1"/>
  <c r="N56" i="83"/>
  <c r="M56" i="83"/>
  <c r="K56" i="83"/>
  <c r="U28" i="34"/>
  <c r="AC28" i="34"/>
  <c r="AB36" i="34"/>
  <c r="S36" i="34"/>
  <c r="AC44" i="34"/>
  <c r="S44" i="34"/>
  <c r="AB41" i="34"/>
  <c r="W41" i="34"/>
  <c r="G124" i="34"/>
  <c r="H124" i="34" s="1"/>
  <c r="I124" i="34" s="1"/>
  <c r="J124" i="34" s="1"/>
  <c r="K124" i="34" s="1"/>
  <c r="L124" i="34" s="1"/>
  <c r="M124" i="34" s="1"/>
  <c r="H43" i="34"/>
  <c r="J43" i="34"/>
  <c r="W43" i="34" s="1"/>
  <c r="F43" i="34"/>
  <c r="AA43" i="34" s="1"/>
  <c r="AC39" i="34"/>
  <c r="U39" i="34"/>
  <c r="AC35" i="34"/>
  <c r="AB35" i="34"/>
  <c r="S35" i="34"/>
  <c r="AB33" i="34"/>
  <c r="W33" i="34"/>
  <c r="AA33" i="34"/>
  <c r="U27" i="34"/>
  <c r="AC23" i="34"/>
  <c r="U21" i="34"/>
  <c r="S21" i="34"/>
  <c r="F82" i="34"/>
  <c r="G82" i="34" s="1"/>
  <c r="F19" i="34"/>
  <c r="J19" i="34"/>
  <c r="AC19" i="34" s="1"/>
  <c r="H19" i="34"/>
  <c r="AB19" i="34" s="1"/>
  <c r="S17" i="34"/>
  <c r="AB17" i="34"/>
  <c r="AC17" i="34"/>
  <c r="F78" i="34"/>
  <c r="G78" i="34" s="1"/>
  <c r="F15" i="34"/>
  <c r="AA15" i="34" s="1"/>
  <c r="J15" i="34"/>
  <c r="H15" i="34"/>
  <c r="AB15" i="34" s="1"/>
  <c r="W9" i="34"/>
  <c r="W8" i="34"/>
  <c r="G7" i="1"/>
  <c r="C21" i="68"/>
  <c r="C40" i="69"/>
  <c r="F3" i="35"/>
  <c r="F29" i="6"/>
  <c r="AZ14" i="3"/>
  <c r="F9" i="1"/>
  <c r="G9" i="1" s="1"/>
  <c r="F10" i="1"/>
  <c r="G10" i="1"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52" i="3"/>
  <c r="AZ456" i="3"/>
  <c r="AZ467" i="3"/>
  <c r="AZ468" i="3"/>
  <c r="AZ470"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G272" i="3"/>
  <c r="G275" i="3"/>
  <c r="BL276" i="3"/>
  <c r="AZ276" i="3" s="1"/>
  <c r="BL279" i="3"/>
  <c r="BL281" i="3"/>
  <c r="AZ281" i="3" s="1"/>
  <c r="BA285" i="3"/>
  <c r="AZ285" i="3" s="1"/>
  <c r="BA287" i="3"/>
  <c r="AZ287" i="3" s="1"/>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15"/>
  <c r="F71" i="15"/>
  <c r="L59" i="15"/>
  <c r="N59" i="15"/>
  <c r="L58" i="15"/>
  <c r="M59" i="15"/>
  <c r="F66" i="15"/>
  <c r="F64" i="15"/>
  <c r="C27" i="15"/>
  <c r="F65" i="15"/>
  <c r="B13" i="70"/>
  <c r="M7" i="67"/>
  <c r="F50" i="67"/>
  <c r="F68" i="15"/>
  <c r="C36" i="68"/>
  <c r="D9" i="69"/>
  <c r="C36" i="69"/>
  <c r="D9" i="68"/>
  <c r="M8" i="67"/>
  <c r="C76" i="67"/>
  <c r="F37" i="67"/>
  <c r="F40" i="67"/>
  <c r="C16" i="15"/>
  <c r="F26" i="67"/>
  <c r="M9" i="67"/>
  <c r="M6" i="67"/>
  <c r="L48" i="67"/>
  <c r="F43" i="67"/>
  <c r="M24" i="67"/>
  <c r="D7" i="73"/>
  <c r="F38" i="67"/>
  <c r="M22" i="15"/>
  <c r="D5" i="73"/>
  <c r="J15" i="67"/>
  <c r="M23" i="67"/>
  <c r="M23" i="15"/>
  <c r="M29" i="67"/>
  <c r="M9" i="15"/>
  <c r="D3" i="73"/>
  <c r="F8" i="67"/>
  <c r="F16" i="67"/>
  <c r="F6" i="67"/>
  <c r="F13" i="67"/>
  <c r="M26" i="67"/>
  <c r="F36" i="67"/>
  <c r="M28" i="67"/>
  <c r="L47" i="67"/>
  <c r="F7" i="15"/>
  <c r="M22" i="67"/>
  <c r="D4" i="73"/>
  <c r="U19" i="34" l="1"/>
  <c r="F71" i="67"/>
  <c r="C27" i="67"/>
  <c r="C6" i="67"/>
  <c r="C32" i="67" s="1"/>
  <c r="M7" i="15"/>
  <c r="J6" i="15" s="1"/>
  <c r="J18" i="15" s="1"/>
  <c r="C6" i="15"/>
  <c r="C32" i="15" s="1"/>
  <c r="F50" i="15"/>
  <c r="C49" i="15" s="1"/>
  <c r="L59" i="67"/>
  <c r="Q61" i="67" s="1"/>
  <c r="M59" i="67"/>
  <c r="N59" i="67"/>
  <c r="F68" i="67"/>
  <c r="F51" i="67"/>
  <c r="C49" i="67" s="1"/>
  <c r="F66" i="67"/>
  <c r="F65" i="67"/>
  <c r="Q71" i="67"/>
  <c r="F64" i="67"/>
  <c r="C56" i="71"/>
  <c r="D55" i="71"/>
  <c r="C36" i="71"/>
  <c r="D35" i="71"/>
  <c r="AA23" i="34"/>
  <c r="S23" i="34"/>
  <c r="Q65" i="71"/>
  <c r="AZ114" i="3"/>
  <c r="AZ396" i="3"/>
  <c r="AZ232" i="3"/>
  <c r="B19" i="71"/>
  <c r="B18" i="71" s="1"/>
  <c r="B17" i="71" s="1"/>
  <c r="B16" i="71" s="1"/>
  <c r="S20" i="71"/>
  <c r="C26" i="71"/>
  <c r="D26" i="71" s="1"/>
  <c r="D27" i="71"/>
  <c r="AZ63" i="3"/>
  <c r="AZ271" i="3"/>
  <c r="AZ297" i="3"/>
  <c r="AZ291" i="3"/>
  <c r="AZ353" i="3"/>
  <c r="D43" i="71"/>
  <c r="C44" i="71"/>
  <c r="B27" i="71"/>
  <c r="B26" i="71" s="1"/>
  <c r="S28" i="71"/>
  <c r="AZ457" i="3"/>
  <c r="P65" i="71"/>
  <c r="P66" i="71"/>
  <c r="W31" i="39"/>
  <c r="AC31" i="39"/>
  <c r="AA28" i="33"/>
  <c r="S28" i="33"/>
  <c r="AA27" i="21"/>
  <c r="S27" i="21"/>
  <c r="J6" i="67"/>
  <c r="J18" i="67" s="1"/>
  <c r="AB39" i="37"/>
  <c r="U39" i="37"/>
  <c r="W12" i="34"/>
  <c r="AC12" i="34"/>
  <c r="AA33" i="36"/>
  <c r="S33" i="36"/>
  <c r="E59" i="40"/>
  <c r="AZ112" i="3"/>
  <c r="G5" i="3"/>
  <c r="B3" i="3" s="1"/>
  <c r="AZ42" i="3"/>
  <c r="AZ36" i="3"/>
  <c r="AZ295" i="3"/>
  <c r="AZ253" i="3"/>
  <c r="AZ215" i="3"/>
  <c r="AZ348" i="3"/>
  <c r="AZ317" i="3"/>
  <c r="AC27" i="34"/>
  <c r="AZ108" i="3"/>
  <c r="C86" i="71"/>
  <c r="D86" i="71" s="1"/>
  <c r="D87" i="71"/>
  <c r="T40" i="71"/>
  <c r="D40" i="71"/>
  <c r="C22" i="71"/>
  <c r="D23" i="71"/>
  <c r="T52" i="71"/>
  <c r="D52" i="71"/>
  <c r="AZ269" i="3"/>
  <c r="AZ182" i="3"/>
  <c r="AZ302" i="3"/>
  <c r="AZ284" i="3"/>
  <c r="AZ277" i="3"/>
  <c r="AZ241" i="3"/>
  <c r="AZ229" i="3"/>
  <c r="AZ397" i="3"/>
  <c r="C31" i="71"/>
  <c r="D30" i="71"/>
  <c r="AZ249" i="3"/>
  <c r="AZ435" i="3"/>
  <c r="AZ461" i="3"/>
  <c r="AZ432" i="3"/>
  <c r="AB35" i="39"/>
  <c r="U35" i="39"/>
  <c r="AB31" i="39"/>
  <c r="U31" i="39"/>
  <c r="AB34" i="36"/>
  <c r="U34" i="36"/>
  <c r="W28" i="33"/>
  <c r="AC28" i="33"/>
  <c r="AB27" i="21"/>
  <c r="U27" i="21"/>
  <c r="W37" i="39"/>
  <c r="AC37" i="39"/>
  <c r="AA12" i="36"/>
  <c r="S12" i="36"/>
  <c r="AZ37" i="3"/>
  <c r="AZ26" i="3"/>
  <c r="AZ165" i="3"/>
  <c r="AZ279" i="3"/>
  <c r="AZ266" i="3"/>
  <c r="AZ268" i="3"/>
  <c r="U23" i="34"/>
  <c r="AZ101" i="3"/>
  <c r="C64" i="71"/>
  <c r="D63" i="71"/>
  <c r="AZ39" i="3"/>
  <c r="AZ21" i="3"/>
  <c r="AZ71" i="3"/>
  <c r="AZ121" i="3"/>
  <c r="AZ274" i="3"/>
  <c r="AZ267" i="3"/>
  <c r="AZ223" i="3"/>
  <c r="AZ256" i="3"/>
  <c r="AZ368" i="3"/>
  <c r="AZ471" i="3"/>
  <c r="AZ350" i="3"/>
  <c r="AZ398" i="3"/>
  <c r="AZ483" i="3"/>
  <c r="AZ460" i="3"/>
  <c r="AZ455" i="3"/>
  <c r="AZ408" i="3"/>
  <c r="U12" i="36"/>
  <c r="AB12" i="36"/>
  <c r="AA37" i="39"/>
  <c r="S37" i="39"/>
  <c r="U12" i="34"/>
  <c r="AB12" i="34"/>
  <c r="U25" i="37"/>
  <c r="AB25" i="37"/>
  <c r="U28" i="33"/>
  <c r="AB28" i="33"/>
  <c r="W27" i="21"/>
  <c r="AC27" i="21"/>
  <c r="S43" i="34"/>
  <c r="AB43" i="34"/>
  <c r="U43" i="34"/>
  <c r="AC43" i="34"/>
  <c r="AA19" i="34"/>
  <c r="S19" i="34"/>
  <c r="W19" i="34"/>
  <c r="W15" i="34"/>
  <c r="AC15" i="34"/>
  <c r="U15" i="34"/>
  <c r="L56" i="67"/>
  <c r="I54" i="67"/>
  <c r="L58" i="67"/>
  <c r="Q73" i="67" s="1"/>
  <c r="J53" i="67"/>
  <c r="F1" i="67" s="1"/>
  <c r="J57" i="67"/>
  <c r="J55" i="67" s="1"/>
  <c r="J58" i="67" s="1"/>
  <c r="Q50" i="67" s="1"/>
  <c r="G8" i="1"/>
  <c r="F11" i="80"/>
  <c r="M11" i="80"/>
  <c r="J10" i="80" s="1"/>
  <c r="K16" i="1"/>
  <c r="P6" i="1"/>
  <c r="C13" i="12" s="1"/>
  <c r="N94" i="46"/>
  <c r="J26" i="43"/>
  <c r="F26" i="43"/>
  <c r="G26" i="43"/>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74" i="15"/>
  <c r="Q61" i="15"/>
  <c r="AE11" i="1"/>
  <c r="AE9" i="1"/>
  <c r="F27" i="68"/>
  <c r="AE8" i="1"/>
  <c r="AE12" i="1"/>
  <c r="AE10" i="1"/>
  <c r="J15" i="80"/>
  <c r="M24" i="80"/>
  <c r="M28" i="80"/>
  <c r="F13" i="80"/>
  <c r="M8" i="80"/>
  <c r="M23" i="80"/>
  <c r="M26" i="80"/>
  <c r="M22" i="80"/>
  <c r="F36" i="80"/>
  <c r="F40" i="80"/>
  <c r="F7" i="80"/>
  <c r="AE6" i="1"/>
  <c r="F37" i="80"/>
  <c r="L48" i="80"/>
  <c r="F43" i="80"/>
  <c r="F26" i="80"/>
  <c r="M9" i="80"/>
  <c r="F6" i="80"/>
  <c r="M6" i="80"/>
  <c r="F41" i="67"/>
  <c r="F42" i="80"/>
  <c r="G1" i="73"/>
  <c r="L47" i="80"/>
  <c r="M29" i="80"/>
  <c r="C16" i="67"/>
  <c r="F38" i="80"/>
  <c r="F8" i="80"/>
  <c r="F16" i="80"/>
  <c r="C76" i="80"/>
  <c r="F9" i="80"/>
  <c r="Q60" i="67" l="1"/>
  <c r="Q74" i="67"/>
  <c r="J5" i="15"/>
  <c r="J24" i="15" s="1"/>
  <c r="J5" i="67"/>
  <c r="J24" i="67" s="1"/>
  <c r="C27" i="80"/>
  <c r="N59" i="80"/>
  <c r="M59" i="80"/>
  <c r="L59" i="80"/>
  <c r="L58" i="80"/>
  <c r="F71" i="80"/>
  <c r="Q71" i="80"/>
  <c r="L56" i="80"/>
  <c r="J57" i="80"/>
  <c r="J55" i="80" s="1"/>
  <c r="J58" i="80" s="1"/>
  <c r="Q50" i="80" s="1"/>
  <c r="L60" i="80"/>
  <c r="J53" i="80"/>
  <c r="L57" i="80"/>
  <c r="I54" i="80"/>
  <c r="F65" i="80"/>
  <c r="F51" i="80"/>
  <c r="F66" i="80"/>
  <c r="F50" i="80"/>
  <c r="M7" i="80"/>
  <c r="J6" i="80" s="1"/>
  <c r="J5" i="80" s="1"/>
  <c r="C6" i="80"/>
  <c r="C10" i="80" s="1"/>
  <c r="C5" i="80" s="1"/>
  <c r="F68" i="80"/>
  <c r="F64" i="80"/>
  <c r="D36" i="71"/>
  <c r="T36" i="71"/>
  <c r="D64" i="71"/>
  <c r="T64" i="71"/>
  <c r="C32" i="71"/>
  <c r="D31" i="71"/>
  <c r="D22" i="71"/>
  <c r="C21" i="71"/>
  <c r="T44" i="71"/>
  <c r="D44" i="71"/>
  <c r="D56" i="71"/>
  <c r="T56" i="71"/>
  <c r="Q52" i="67"/>
  <c r="C53" i="80"/>
  <c r="D26" i="43"/>
  <c r="C25" i="43" s="1"/>
  <c r="C33" i="43" s="1"/>
  <c r="E3" i="6"/>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80"/>
  <c r="M27" i="67"/>
  <c r="C16" i="80"/>
  <c r="C49" i="80" l="1"/>
  <c r="C61" i="80" s="1"/>
  <c r="J24" i="80"/>
  <c r="J26" i="80"/>
  <c r="Q52" i="80"/>
  <c r="F1" i="80"/>
  <c r="Q61" i="80"/>
  <c r="Q74" i="80"/>
  <c r="Q57" i="80"/>
  <c r="Q66" i="80"/>
  <c r="T32" i="71"/>
  <c r="D32" i="71"/>
  <c r="C32" i="80"/>
  <c r="C33" i="80"/>
  <c r="D21" i="71"/>
  <c r="C20" i="71"/>
  <c r="J18" i="80"/>
  <c r="J19" i="80"/>
  <c r="Q73" i="80"/>
  <c r="Q60" i="80"/>
  <c r="G54" i="34"/>
  <c r="H54" i="34" s="1"/>
  <c r="C38" i="80"/>
  <c r="L36" i="43"/>
  <c r="L37" i="43" s="1"/>
  <c r="Q37" i="43" s="1"/>
  <c r="F24" i="80"/>
  <c r="R50" i="34"/>
  <c r="C50" i="34" s="1"/>
  <c r="F25" i="12"/>
  <c r="C26" i="12" s="1"/>
  <c r="D25" i="12" s="1"/>
  <c r="F22" i="68"/>
  <c r="C44" i="68" s="1"/>
  <c r="D41" i="68" s="1"/>
  <c r="D116" i="43"/>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AE7" i="1"/>
  <c r="C17" i="80"/>
  <c r="C48" i="80" l="1"/>
  <c r="M19" i="83"/>
  <c r="C118" i="83" s="1"/>
  <c r="M19" i="9"/>
  <c r="C118" i="9" s="1"/>
  <c r="C14" i="74" s="1"/>
  <c r="C15" i="74" s="1"/>
  <c r="E7" i="70"/>
  <c r="C19" i="71"/>
  <c r="T20" i="71"/>
  <c r="D20" i="71"/>
  <c r="U20" i="71" s="1"/>
  <c r="C49" i="34"/>
  <c r="N37" i="43"/>
  <c r="E54" i="34"/>
  <c r="F54" i="34" s="1"/>
  <c r="M37" i="43"/>
  <c r="P36" i="43"/>
  <c r="P37" i="43"/>
  <c r="M36" i="43"/>
  <c r="O36" i="43"/>
  <c r="O37" i="43"/>
  <c r="N36" i="43"/>
  <c r="Q36" i="43"/>
  <c r="C24" i="80"/>
  <c r="I54" i="34"/>
  <c r="J54" i="34" s="1"/>
  <c r="F41" i="68"/>
  <c r="H25" i="6"/>
  <c r="C26" i="68"/>
  <c r="D22" i="68" s="1"/>
  <c r="C44" i="11"/>
  <c r="D41" i="11" s="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0"/>
  <c r="C14" i="80"/>
  <c r="C14" i="15"/>
  <c r="E6" i="76"/>
  <c r="B6" i="76"/>
  <c r="F69" i="80" l="1"/>
  <c r="J29" i="80"/>
  <c r="C66" i="80"/>
  <c r="C60" i="80"/>
  <c r="C15" i="80"/>
  <c r="C18" i="80"/>
  <c r="C19" i="80" s="1"/>
  <c r="C18" i="71"/>
  <c r="D19" i="71"/>
  <c r="L18" i="83"/>
  <c r="L18" i="9"/>
  <c r="B2" i="74"/>
  <c r="D7" i="74" s="1"/>
  <c r="B3" i="43"/>
  <c r="C6" i="68"/>
  <c r="C7" i="68" s="1"/>
  <c r="C5" i="68" s="1"/>
  <c r="C23" i="68" s="1"/>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0" i="80" l="1"/>
  <c r="C26" i="80" s="1"/>
  <c r="C23" i="80"/>
  <c r="L19" i="9"/>
  <c r="L19" i="83"/>
  <c r="C17" i="71"/>
  <c r="D18" i="7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80" l="1"/>
  <c r="C16" i="71"/>
  <c r="D17" i="71"/>
  <c r="C30" i="12"/>
  <c r="C28" i="12" s="1"/>
  <c r="C32" i="12" s="1"/>
  <c r="B2" i="12" s="1"/>
  <c r="B3" i="12"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M21" i="80"/>
  <c r="F35" i="67"/>
  <c r="F35" i="80"/>
  <c r="C15" i="71" l="1"/>
  <c r="T16" i="71"/>
  <c r="D16" i="71"/>
  <c r="U16" i="71" s="1"/>
  <c r="C36" i="80"/>
  <c r="J14" i="80"/>
  <c r="C13" i="80"/>
  <c r="Q49" i="80"/>
  <c r="C57" i="80"/>
  <c r="C64" i="80" s="1"/>
  <c r="J59" i="80"/>
  <c r="J60" i="80" s="1"/>
  <c r="J20" i="80"/>
  <c r="J17" i="80" s="1"/>
  <c r="C34" i="80"/>
  <c r="C31" i="80" s="1"/>
  <c r="F63" i="80"/>
  <c r="C62" i="80" s="1"/>
  <c r="C59" i="80"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75" i="80" l="1"/>
  <c r="C37" i="80"/>
  <c r="C30" i="80" s="1"/>
  <c r="C39" i="80" s="1"/>
  <c r="Q70" i="80"/>
  <c r="C56" i="80"/>
  <c r="C65" i="80" s="1"/>
  <c r="C58" i="80" s="1"/>
  <c r="C67" i="80" s="1"/>
  <c r="C68" i="80" s="1"/>
  <c r="C71" i="80" s="1"/>
  <c r="Q48" i="80"/>
  <c r="L46" i="80"/>
  <c r="J22" i="80"/>
  <c r="J13" i="80"/>
  <c r="J23" i="80" s="1"/>
  <c r="C14" i="71"/>
  <c r="D15" i="71"/>
  <c r="B3"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16" i="80" l="1"/>
  <c r="J25" i="80" s="1"/>
  <c r="C40" i="80"/>
  <c r="Q65" i="80" s="1"/>
  <c r="Q75" i="80" s="1"/>
  <c r="Q69" i="80"/>
  <c r="Q68" i="80" s="1"/>
  <c r="C80" i="80"/>
  <c r="C79" i="80" s="1"/>
  <c r="D14" i="71"/>
  <c r="C13" i="71"/>
  <c r="Q47" i="80"/>
  <c r="Q53"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80"/>
  <c r="L51" i="67"/>
  <c r="D2" i="33"/>
  <c r="B2" i="80" l="1"/>
  <c r="B3" i="80" s="1"/>
  <c r="C83" i="80"/>
  <c r="C82" i="80" s="1"/>
  <c r="C43" i="80"/>
  <c r="Q56" i="80"/>
  <c r="Q62" i="80" s="1"/>
  <c r="C46" i="80"/>
  <c r="Q67" i="80"/>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T12" i="71" l="1"/>
  <c r="D12" i="71"/>
  <c r="U12" i="71" s="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1" i="1"/>
  <c r="AO7" i="1"/>
  <c r="AO10" i="1"/>
  <c r="AO12" i="1"/>
  <c r="AO9" i="1"/>
  <c r="C19" i="83"/>
  <c r="C21" i="83" l="1"/>
  <c r="C102" i="83"/>
  <c r="C10" i="7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20" i="83"/>
  <c r="D19" i="83"/>
  <c r="C103" i="83" l="1"/>
  <c r="C9" i="71"/>
  <c r="D10" i="71"/>
  <c r="D21" i="83"/>
  <c r="D102" i="83"/>
  <c r="D22" i="83"/>
  <c r="G19" i="83"/>
  <c r="C103" i="9"/>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19" i="9"/>
  <c r="D34" i="9"/>
  <c r="D20" i="83"/>
  <c r="D35" i="83"/>
  <c r="D34" i="83"/>
  <c r="D9" i="71" l="1"/>
  <c r="C8" i="71"/>
  <c r="D103" i="83"/>
  <c r="G20" i="83"/>
  <c r="C32" i="83"/>
  <c r="G21" i="83"/>
  <c r="D102" i="9"/>
  <c r="D22" i="9"/>
  <c r="G19" i="9"/>
  <c r="G21" i="9" s="1"/>
  <c r="D21" i="9"/>
  <c r="B3" i="70"/>
  <c r="C42" i="40"/>
  <c r="C43" i="40"/>
  <c r="E47" i="40"/>
  <c r="F47" i="40" s="1"/>
  <c r="E46" i="40"/>
  <c r="F46" i="40" s="1"/>
  <c r="I47" i="40"/>
  <c r="J47" i="40" s="1"/>
  <c r="D20" i="9"/>
  <c r="D8" i="71" l="1"/>
  <c r="C7" i="71"/>
  <c r="H118" i="83"/>
  <c r="C35" i="83"/>
  <c r="F118" i="83" s="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I118" i="83"/>
  <c r="H119" i="83"/>
  <c r="H101" i="83"/>
  <c r="C104" i="83"/>
  <c r="F119" i="83"/>
  <c r="G118" i="83"/>
  <c r="C34" i="83"/>
  <c r="D118" i="83" s="1"/>
  <c r="D119" i="83" s="1"/>
  <c r="C32" i="9"/>
  <c r="C35" i="9" s="1"/>
  <c r="C34" i="9" s="1"/>
  <c r="R24" i="31"/>
  <c r="C5" i="71" l="1"/>
  <c r="D5" i="71" s="1"/>
  <c r="M24" i="43" s="1"/>
  <c r="D6" i="71"/>
  <c r="H107" i="83"/>
  <c r="E118" i="83"/>
  <c r="C105" i="83"/>
  <c r="H102" i="83"/>
  <c r="S24" i="31"/>
  <c r="R25" i="31"/>
  <c r="S25" i="31" s="1"/>
  <c r="D45" i="83" s="1"/>
  <c r="D118" i="9"/>
  <c r="D119" i="9" s="1"/>
  <c r="D5" i="52" s="1"/>
  <c r="B49" i="72" s="1"/>
  <c r="F118" i="9"/>
  <c r="F119" i="9" s="1"/>
  <c r="F5" i="52" s="1"/>
  <c r="B53" i="72" s="1"/>
  <c r="H118" i="9"/>
  <c r="C104" i="9" s="1"/>
  <c r="M48" i="83" l="1"/>
  <c r="M49" i="83"/>
  <c r="D52" i="83"/>
  <c r="C72" i="83"/>
  <c r="C64" i="83"/>
  <c r="C63" i="83" s="1"/>
  <c r="C67" i="83" s="1"/>
  <c r="C68" i="83" s="1"/>
  <c r="D54" i="83" s="1"/>
  <c r="C78" i="83"/>
  <c r="C73" i="83" s="1"/>
  <c r="D55" i="83"/>
  <c r="M53" i="83" s="1"/>
  <c r="P53" i="83" s="1"/>
  <c r="D53" i="83"/>
  <c r="D48" i="83" s="1"/>
  <c r="M52" i="83" s="1"/>
  <c r="C93" i="83"/>
  <c r="C86" i="83" s="1"/>
  <c r="C85" i="83"/>
  <c r="P54" i="83"/>
  <c r="D122" i="83"/>
  <c r="D123" i="83" s="1"/>
  <c r="H108" i="83"/>
  <c r="W25" i="31"/>
  <c r="D15" i="74"/>
  <c r="W24" i="31"/>
  <c r="D14" i="74"/>
  <c r="S22" i="31"/>
  <c r="S21" i="31" s="1"/>
  <c r="H4" i="52"/>
  <c r="G118" i="9"/>
  <c r="G4" i="52" s="1"/>
  <c r="B52" i="72" s="1"/>
  <c r="I118" i="9"/>
  <c r="F4" i="52"/>
  <c r="B51" i="72" s="1"/>
  <c r="D4" i="52"/>
  <c r="B47" i="72" s="1"/>
  <c r="H119" i="9"/>
  <c r="H5" i="52" s="1"/>
  <c r="H101" i="9"/>
  <c r="G15" i="74" l="1"/>
  <c r="J15" i="74" s="1"/>
  <c r="G14" i="74"/>
  <c r="C79" i="83"/>
  <c r="C80" i="83" s="1"/>
  <c r="E80" i="83" s="1"/>
  <c r="E81" i="83" s="1"/>
  <c r="L66" i="83"/>
  <c r="M66" i="83" s="1"/>
  <c r="L64" i="83"/>
  <c r="M64" i="83" s="1"/>
  <c r="L68" i="83"/>
  <c r="M68" i="83" s="1"/>
  <c r="L67" i="83"/>
  <c r="M67" i="83" s="1"/>
  <c r="L65" i="83"/>
  <c r="M65" i="83" s="1"/>
  <c r="L63" i="83"/>
  <c r="M63" i="83" s="1"/>
  <c r="P52" i="83"/>
  <c r="P57" i="83" s="1"/>
  <c r="C95" i="83"/>
  <c r="E15" i="74"/>
  <c r="F15" i="74"/>
  <c r="E14" i="74"/>
  <c r="B5" i="74"/>
  <c r="D5" i="74" s="1"/>
  <c r="F14" i="74"/>
  <c r="R22" i="31"/>
  <c r="B20" i="31"/>
  <c r="B21" i="31" s="1"/>
  <c r="M48" i="9"/>
  <c r="H107" i="9"/>
  <c r="D5" i="53"/>
  <c r="D45" i="9"/>
  <c r="P54" i="9" s="1"/>
  <c r="I4" i="52"/>
  <c r="H102" i="9"/>
  <c r="E118" i="9"/>
  <c r="E4" i="52" s="1"/>
  <c r="B48" i="72" s="1"/>
  <c r="C105" i="9"/>
  <c r="B6" i="74" l="1"/>
  <c r="J14" i="74"/>
  <c r="Q57" i="83"/>
  <c r="P59" i="83"/>
  <c r="C96" i="83"/>
  <c r="E96" i="83" s="1"/>
  <c r="E97" i="83" s="1"/>
  <c r="M69" i="83"/>
  <c r="N69" i="83" s="1"/>
  <c r="C81" i="83"/>
  <c r="C93" i="9"/>
  <c r="C86" i="9" s="1"/>
  <c r="C64" i="9"/>
  <c r="C63" i="9" s="1"/>
  <c r="C67" i="9" s="1"/>
  <c r="D55" i="9"/>
  <c r="M53" i="9" s="1"/>
  <c r="P53" i="9" s="1"/>
  <c r="C85" i="9"/>
  <c r="C78" i="9"/>
  <c r="C73" i="9" s="1"/>
  <c r="D52" i="9"/>
  <c r="D53" i="9"/>
  <c r="D48" i="9" s="1"/>
  <c r="M52" i="9" s="1"/>
  <c r="P52" i="9" s="1"/>
  <c r="P57" i="9" s="1"/>
  <c r="Q57" i="9" s="1"/>
  <c r="C72" i="9"/>
  <c r="D122" i="9"/>
  <c r="H108" i="9"/>
  <c r="D13" i="53"/>
  <c r="M49" i="9"/>
  <c r="B20" i="72"/>
  <c r="D6" i="53"/>
  <c r="B22" i="72" s="1"/>
  <c r="C5" i="74"/>
  <c r="D7" i="53"/>
  <c r="B21" i="72" s="1"/>
  <c r="D6" i="74" l="1"/>
  <c r="N14" i="74"/>
  <c r="P61" i="83"/>
  <c r="I15" i="74"/>
  <c r="L15" i="74" s="1"/>
  <c r="C97" i="83"/>
  <c r="D58" i="83" s="1"/>
  <c r="D56" i="83" s="1"/>
  <c r="M54" i="83" s="1"/>
  <c r="N57" i="83" s="1"/>
  <c r="P59" i="9"/>
  <c r="C79" i="9"/>
  <c r="C95" i="9"/>
  <c r="C96" i="9" s="1"/>
  <c r="E96" i="9" s="1"/>
  <c r="E97" i="9" s="1"/>
  <c r="L67" i="9"/>
  <c r="M67" i="9" s="1"/>
  <c r="L63" i="9"/>
  <c r="M63" i="9" s="1"/>
  <c r="L64" i="9"/>
  <c r="M64" i="9" s="1"/>
  <c r="L68" i="9"/>
  <c r="M68" i="9" s="1"/>
  <c r="L66" i="9"/>
  <c r="M66" i="9" s="1"/>
  <c r="L65" i="9"/>
  <c r="M65" i="9" s="1"/>
  <c r="C80" i="9"/>
  <c r="E80" i="9" s="1"/>
  <c r="E81" i="9" s="1"/>
  <c r="B30" i="72"/>
  <c r="D14" i="53"/>
  <c r="B32" i="72" s="1"/>
  <c r="D15" i="53"/>
  <c r="B31" i="72" s="1"/>
  <c r="C6" i="74"/>
  <c r="C68" i="9"/>
  <c r="D54" i="9" s="1"/>
  <c r="D59" i="9"/>
  <c r="M55" i="9" s="1"/>
  <c r="D123" i="9"/>
  <c r="D9" i="52" s="1"/>
  <c r="D8" i="52"/>
  <c r="N58" i="83" l="1"/>
  <c r="N59" i="83"/>
  <c r="P61" i="9"/>
  <c r="I14" i="74"/>
  <c r="L14" i="74" s="1"/>
  <c r="C97" i="9"/>
  <c r="D58" i="9" s="1"/>
  <c r="D56" i="9" s="1"/>
  <c r="M54" i="9" s="1"/>
  <c r="N57" i="9" s="1"/>
  <c r="M69" i="9"/>
  <c r="N69" i="9" s="1"/>
  <c r="C81" i="9"/>
  <c r="B8" i="74" l="1"/>
  <c r="N60" i="83"/>
  <c r="N61" i="83"/>
  <c r="C8" i="74"/>
  <c r="D8" i="74"/>
  <c r="N59" i="9"/>
  <c r="N61" i="9" s="1"/>
  <c r="N58" i="9"/>
  <c r="F8" i="74" l="1"/>
  <c r="N15" i="74"/>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B00-000002000000}">
      <text>
        <r>
          <rPr>
            <sz val="11"/>
            <color indexed="81"/>
            <rFont val="宋体"/>
            <family val="3"/>
            <charset val="134"/>
          </rPr>
          <t xml:space="preserve">录入层数，将对应的结果录入至左侧相应层的楼层修正系数单元格中
</t>
        </r>
      </text>
    </comment>
    <comment ref="C16" authorId="1" shapeId="0" xr:uid="{00000000-0006-0000-1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B00-000004000000}">
      <text>
        <r>
          <rPr>
            <sz val="12"/>
            <color indexed="81"/>
            <rFont val="宋体"/>
            <family val="3"/>
            <charset val="134"/>
          </rPr>
          <t>1.05~1.1</t>
        </r>
        <r>
          <rPr>
            <sz val="9"/>
            <color indexed="81"/>
            <rFont val="宋体"/>
            <family val="3"/>
            <charset val="134"/>
          </rPr>
          <t xml:space="preserve">
</t>
        </r>
      </text>
    </comment>
    <comment ref="E16" authorId="1" shapeId="0" xr:uid="{00000000-0006-0000-1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B00-000009000000}">
      <text>
        <r>
          <rPr>
            <sz val="9"/>
            <color indexed="81"/>
            <rFont val="宋体"/>
            <family val="3"/>
            <charset val="134"/>
          </rPr>
          <t xml:space="preserve">需在此处填写剩余土地年限
</t>
        </r>
      </text>
    </comment>
    <comment ref="C111" authorId="0" shapeId="0" xr:uid="{00000000-0006-0000-1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<sst xmlns="http://schemas.openxmlformats.org/spreadsheetml/2006/main" count="8729" uniqueCount="3522">
  <si>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</si>
  <si>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</si>
  <si>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</si>
  <si>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</si>
  <si>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</si>
  <si>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</si>
  <si>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</si>
  <si>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</si>
  <si>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</si>
  <si>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</si>
  <si>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</si>
  <si>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</si>
  <si>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</si>
  <si>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</si>
  <si>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</si>
  <si>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</si>
  <si>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</si>
  <si>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</si>
  <si>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</si>
  <si>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</si>
  <si>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</si>
  <si>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</si>
  <si>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</si>
  <si>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</si>
  <si>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</si>
  <si>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</si>
  <si>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</si>
  <si>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</si>
  <si>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</si>
  <si>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</si>
  <si>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</si>
  <si>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</si>
  <si>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</si>
  <si>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</si>
  <si>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</si>
  <si>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</si>
  <si>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</si>
  <si>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</si>
  <si>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</si>
  <si>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</si>
  <si>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</si>
  <si>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</si>
  <si>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</si>
  <si>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</si>
  <si>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</si>
  <si>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</si>
  <si>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</si>
  <si>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</si>
  <si>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</si>
  <si>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</si>
  <si>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</si>
  <si>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</si>
  <si>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</si>
  <si>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</si>
  <si>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</si>
  <si>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</si>
  <si>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</si>
  <si>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</si>
  <si>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</si>
  <si>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</si>
  <si>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</si>
  <si>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</si>
  <si>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</si>
  <si>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</si>
  <si>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</si>
  <si>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</si>
  <si>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</si>
  <si>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</si>
  <si>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</si>
  <si>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</si>
  <si>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</si>
  <si>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</si>
  <si>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</si>
  <si>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</si>
  <si>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</si>
  <si>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</si>
  <si>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</si>
  <si>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</si>
  <si>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</si>
  <si>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</si>
  <si>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</si>
  <si>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</si>
  <si>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</si>
  <si>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</si>
  <si>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</si>
  <si>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</si>
  <si>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</si>
  <si>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</si>
  <si>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</si>
  <si>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</si>
  <si>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</si>
  <si>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</si>
  <si>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</si>
  <si>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</si>
  <si>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</si>
  <si>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</si>
  <si>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</si>
  <si>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</si>
  <si>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</si>
  <si>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</si>
  <si>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</si>
  <si>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</si>
  <si>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</si>
  <si>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</si>
  <si>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</si>
  <si>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</si>
  <si>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</si>
  <si>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</si>
  <si>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</si>
  <si>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</si>
  <si>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</si>
  <si>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</si>
  <si>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</si>
  <si>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</si>
  <si>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</si>
  <si>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</si>
  <si>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</si>
  <si>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</si>
  <si>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</si>
  <si>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</si>
  <si>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</si>
  <si>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</si>
  <si>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</si>
  <si>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</si>
  <si>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</si>
  <si>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</si>
  <si>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</si>
  <si>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</si>
  <si>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</si>
  <si>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</si>
  <si>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</si>
  <si>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</si>
  <si>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</si>
  <si>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</si>
  <si>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</si>
  <si>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</si>
  <si>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</si>
  <si>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</si>
  <si>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</si>
  <si>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</si>
  <si>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</si>
  <si>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</si>
  <si>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</si>
  <si>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</si>
  <si>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</si>
  <si>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</si>
  <si>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</si>
  <si>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</si>
  <si>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</si>
  <si>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</si>
  <si>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</si>
  <si>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</si>
  <si>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</si>
  <si>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</si>
  <si>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</si>
  <si>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</si>
  <si>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</si>
  <si>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</si>
  <si>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</si>
  <si>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</si>
  <si>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</si>
  <si>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</si>
  <si>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</si>
  <si>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</si>
  <si>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</si>
  <si>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</si>
  <si>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</si>
  <si>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</si>
  <si>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</si>
  <si>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</si>
  <si>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</si>
  <si>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</si>
  <si>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</si>
  <si>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</si>
  <si>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</si>
  <si>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</si>
  <si>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</si>
  <si>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</si>
  <si>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</si>
  <si>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</si>
  <si>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</si>
  <si>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</si>
  <si>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</si>
  <si>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</si>
  <si>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</si>
  <si>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</si>
  <si>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</si>
  <si>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</si>
  <si>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</si>
  <si>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</si>
  <si>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</si>
  <si>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</si>
  <si>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</si>
  <si>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</si>
  <si>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</si>
  <si>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</si>
  <si>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</si>
  <si>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</si>
  <si>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</si>
  <si>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</si>
  <si>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</si>
  <si>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</si>
  <si>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</si>
  <si>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</si>
  <si>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</si>
  <si>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</si>
  <si>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</si>
  <si>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</si>
  <si>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</si>
  <si>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</si>
  <si>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</si>
  <si>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</si>
  <si>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</si>
  <si>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</si>
  <si>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</si>
  <si>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</si>
  <si>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</si>
  <si>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</si>
  <si>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</si>
  <si>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</si>
  <si>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</si>
  <si>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</si>
  <si>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</si>
  <si>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</si>
  <si>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</si>
  <si>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</si>
  <si>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</si>
  <si>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</si>
  <si>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</si>
  <si>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</si>
  <si>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</si>
  <si>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</si>
  <si>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</si>
  <si>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</si>
  <si>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</si>
  <si>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</si>
  <si>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</si>
  <si>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</si>
  <si>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</si>
  <si>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</si>
  <si>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</si>
  <si>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</si>
  <si>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</si>
  <si>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</si>
  <si>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</si>
  <si>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</si>
  <si>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</si>
  <si>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</si>
  <si>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</si>
  <si>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</si>
  <si>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</si>
  <si>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</si>
  <si>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</si>
  <si>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</si>
  <si>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</si>
  <si>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</si>
  <si>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</si>
  <si>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</si>
  <si>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</si>
  <si>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</si>
  <si>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</si>
  <si>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</si>
  <si>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</si>
  <si>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</si>
  <si>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</si>
  <si>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</si>
  <si>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</si>
  <si>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</si>
  <si>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</si>
  <si>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</si>
  <si>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</si>
  <si>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</si>
  <si>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</si>
  <si>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</si>
  <si>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</si>
  <si>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</si>
  <si>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</si>
  <si>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</si>
  <si>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</si>
  <si>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</si>
  <si>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</si>
  <si>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</si>
  <si>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</si>
  <si>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</si>
  <si>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</si>
  <si>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</si>
  <si>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</si>
  <si>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</si>
  <si>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</si>
  <si>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</si>
  <si>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</si>
  <si>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</si>
  <si>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</si>
  <si>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</si>
  <si>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</si>
  <si>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</si>
  <si>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</si>
  <si>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</si>
  <si>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</si>
  <si>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</si>
  <si>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</si>
  <si>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</si>
  <si>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</si>
  <si>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</si>
  <si>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</si>
  <si>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</si>
  <si>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</si>
  <si>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</si>
  <si>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</si>
  <si>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</si>
  <si>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</si>
  <si>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</si>
  <si>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</si>
  <si>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</si>
  <si>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</si>
  <si>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</si>
  <si>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</si>
  <si>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</si>
  <si>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</si>
  <si>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</si>
  <si>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</si>
  <si>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</si>
  <si>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</si>
  <si>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</si>
  <si>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</si>
  <si>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</si>
  <si>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</si>
  <si>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</si>
  <si>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</si>
  <si>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</si>
  <si>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</si>
  <si>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</si>
  <si>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</si>
  <si>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</si>
  <si>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</si>
  <si>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</si>
  <si>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</si>
  <si>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</si>
  <si>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</si>
  <si>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</si>
  <si>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</si>
  <si>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</si>
  <si>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</si>
  <si>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</si>
  <si>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</si>
  <si>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</si>
  <si>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</si>
  <si>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</si>
  <si>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</si>
  <si>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</si>
  <si>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</si>
  <si>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</si>
  <si>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</si>
  <si>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</si>
  <si>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</si>
  <si>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</si>
  <si>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</si>
  <si>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</si>
  <si>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</si>
  <si>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</si>
  <si>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</si>
  <si>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</si>
  <si>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</si>
  <si>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</si>
  <si>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</si>
  <si>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</si>
  <si>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</si>
  <si>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</si>
  <si>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</si>
  <si>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</si>
  <si>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</si>
  <si>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</si>
  <si>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</si>
  <si>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</si>
  <si>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</si>
  <si>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</si>
  <si>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</si>
  <si>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</si>
  <si>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</si>
  <si>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</si>
  <si>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</si>
  <si>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</si>
  <si>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</si>
  <si>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</si>
  <si>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</si>
  <si>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</si>
  <si>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</si>
  <si>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</si>
  <si>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</si>
  <si>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</si>
  <si>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</si>
  <si>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</si>
  <si>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</si>
  <si>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</si>
  <si>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</si>
  <si>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</si>
  <si>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</si>
  <si>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</si>
  <si>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</si>
  <si>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</si>
  <si>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</si>
  <si>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</si>
  <si>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</si>
  <si>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</si>
  <si>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</si>
  <si>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</si>
  <si>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</si>
  <si>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</si>
  <si>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</si>
  <si>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</si>
  <si>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</si>
  <si>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</si>
  <si>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</si>
  <si>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</si>
  <si>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</si>
  <si>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</si>
  <si>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</si>
  <si>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</si>
  <si>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</si>
  <si>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</si>
  <si>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</si>
  <si>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</si>
  <si>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</si>
  <si>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</si>
  <si>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</si>
  <si>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</si>
  <si>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</si>
  <si>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</si>
  <si>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</si>
  <si>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</si>
  <si>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</si>
  <si>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</si>
  <si>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</si>
  <si>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</si>
  <si>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</si>
  <si>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</si>
  <si>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</si>
  <si>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</si>
  <si>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</si>
  <si>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</si>
  <si>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</si>
  <si>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</si>
  <si>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</si>
  <si>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</si>
  <si>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</si>
  <si>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</si>
  <si>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</si>
  <si>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</si>
  <si>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</si>
  <si>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</si>
  <si>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</si>
  <si>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</si>
  <si>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</si>
  <si>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</si>
  <si>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</si>
  <si>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</si>
  <si>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</si>
  <si>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</si>
  <si>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</si>
  <si>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</si>
  <si>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</si>
  <si>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</si>
  <si>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</si>
  <si>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</si>
  <si>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</si>
  <si>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</si>
  <si>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</si>
  <si>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</si>
  <si>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</si>
  <si>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</si>
  <si>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</si>
  <si>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</si>
  <si>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</si>
  <si>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</si>
  <si>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</si>
  <si>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</si>
  <si>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</si>
  <si>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</si>
  <si>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</si>
  <si>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</si>
  <si>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</si>
  <si>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</si>
  <si>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</si>
  <si>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</si>
  <si>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</si>
  <si>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</si>
  <si>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</si>
  <si>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</si>
  <si>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</si>
  <si>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</si>
  <si>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</si>
  <si>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</si>
  <si>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</si>
  <si>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</si>
  <si>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</si>
  <si>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</si>
  <si>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</si>
  <si>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</si>
  <si>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</si>
  <si>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</si>
  <si>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</si>
  <si>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</si>
  <si>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</si>
  <si>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</si>
  <si>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</si>
  <si>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</si>
  <si>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</si>
  <si>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</si>
  <si>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</si>
  <si>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</si>
  <si>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</si>
  <si>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</si>
  <si>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</si>
  <si>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</si>
  <si>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</si>
  <si>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</si>
  <si>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</si>
  <si>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</si>
  <si>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</si>
  <si>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</si>
  <si>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</si>
  <si>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</si>
  <si>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</si>
  <si>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</si>
  <si>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</si>
  <si>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</si>
  <si>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</si>
  <si>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</si>
  <si>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</si>
  <si>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</si>
  <si>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</si>
  <si>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</si>
  <si>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</si>
  <si>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</si>
  <si>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</si>
  <si>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</si>
  <si>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</si>
  <si>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</si>
  <si>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</si>
  <si>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</si>
  <si>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</si>
  <si>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</si>
  <si>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</si>
  <si>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</si>
  <si>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</si>
  <si>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</si>
  <si>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</si>
  <si>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</si>
  <si>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</si>
  <si>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</si>
  <si>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</si>
  <si>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</si>
  <si>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</si>
  <si>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</si>
  <si>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</si>
  <si>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</si>
  <si>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</si>
  <si>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</si>
  <si>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</si>
  <si>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</si>
  <si>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</si>
  <si>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</si>
  <si>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</si>
  <si>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</si>
  <si>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</si>
  <si>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</si>
  <si>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</si>
  <si>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</si>
  <si>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</si>
  <si>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</si>
  <si>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</si>
  <si>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</si>
  <si>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</si>
  <si>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</si>
  <si>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</si>
  <si>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</si>
  <si>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</si>
  <si>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</si>
  <si>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</si>
  <si>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</si>
  <si>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</si>
  <si>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</si>
  <si>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</si>
  <si>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</si>
  <si>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</si>
  <si>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</si>
  <si>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</si>
  <si>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</si>
  <si>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</si>
  <si>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</si>
  <si>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</si>
  <si>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</si>
  <si>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</si>
  <si>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</si>
  <si>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</si>
  <si>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</si>
  <si>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</si>
  <si>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</si>
  <si>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</si>
  <si>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</si>
  <si>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</si>
  <si>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</si>
  <si>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</si>
  <si>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</si>
  <si>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</si>
  <si>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</si>
  <si>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</si>
  <si>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</si>
  <si>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</si>
  <si>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</si>
  <si>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</si>
  <si>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</si>
  <si>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</si>
  <si>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</si>
  <si>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</si>
  <si>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</si>
  <si>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</si>
  <si>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</si>
  <si>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</si>
  <si>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</si>
  <si>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</si>
  <si>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</si>
  <si>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</si>
  <si>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</si>
  <si>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</si>
  <si>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</si>
  <si>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</si>
  <si>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</si>
  <si>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</si>
  <si>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</si>
  <si>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</si>
  <si>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</si>
  <si>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</si>
  <si>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</si>
  <si>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</si>
  <si>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</si>
  <si>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</si>
  <si>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</si>
  <si>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</si>
  <si>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</si>
  <si>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</si>
  <si>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</si>
  <si>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</si>
  <si>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</si>
  <si>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</si>
  <si>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</si>
  <si>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</si>
  <si>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</si>
  <si>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</si>
  <si>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</si>
  <si>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</si>
  <si>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</si>
  <si>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</si>
  <si>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</si>
  <si>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</si>
  <si>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</si>
  <si>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</si>
  <si>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</si>
  <si>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</si>
  <si>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</si>
  <si>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</si>
  <si>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</si>
  <si>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</si>
  <si>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</si>
  <si>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</si>
  <si>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</si>
  <si>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</si>
  <si>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</si>
  <si>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</si>
  <si>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</si>
  <si>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</si>
  <si>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</si>
  <si>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</si>
  <si>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</si>
  <si>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</si>
  <si>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</si>
  <si>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</si>
  <si>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</si>
  <si>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</si>
  <si>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</si>
  <si>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</si>
  <si>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</si>
  <si>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</si>
  <si>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</si>
  <si>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</si>
  <si>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</si>
  <si>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</si>
  <si>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</si>
  <si>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</si>
  <si>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</si>
  <si>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</si>
  <si>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</si>
  <si>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</si>
  <si>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</si>
  <si>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</si>
  <si>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</si>
  <si>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</si>
  <si>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</si>
  <si>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</si>
  <si>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</si>
  <si>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</si>
  <si>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</si>
  <si>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</si>
  <si>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</si>
  <si>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</si>
  <si>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</si>
  <si>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</si>
  <si>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</si>
  <si>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</si>
  <si>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</si>
  <si>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</si>
  <si>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</si>
  <si>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</si>
  <si>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</si>
  <si>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</si>
  <si>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</si>
  <si>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</si>
  <si>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</si>
  <si>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</si>
  <si>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</si>
  <si>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</si>
  <si>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</si>
  <si>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</si>
  <si>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</si>
  <si>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</si>
  <si>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</si>
  <si>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</si>
  <si>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</si>
  <si>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</si>
  <si>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</si>
  <si>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</si>
  <si>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</si>
  <si>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</si>
  <si>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</si>
  <si>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</si>
  <si>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</si>
  <si>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</si>
  <si>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</si>
  <si>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</si>
  <si>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</si>
  <si>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</si>
  <si>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</si>
  <si>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</si>
  <si>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</si>
  <si>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</si>
  <si>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</si>
  <si>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</si>
  <si>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</si>
  <si>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</si>
  <si>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</si>
  <si>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</si>
  <si>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</si>
  <si>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</si>
  <si>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</si>
  <si>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</si>
  <si>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</si>
  <si>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</si>
  <si>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</si>
  <si>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</si>
  <si>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</si>
  <si>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</si>
  <si>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</si>
  <si>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</si>
  <si>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</si>
  <si>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</si>
  <si>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</si>
  <si>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</si>
  <si>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</si>
  <si>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</si>
  <si>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</si>
  <si>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</si>
  <si>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</si>
  <si>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</si>
  <si>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</si>
  <si>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</si>
  <si>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</si>
  <si>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</si>
  <si>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</si>
  <si>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</si>
  <si>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</si>
  <si>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</si>
  <si>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</si>
  <si>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</si>
  <si>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</si>
  <si>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</si>
  <si>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</si>
  <si>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</si>
  <si>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</si>
  <si>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</si>
  <si>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</si>
  <si>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</si>
  <si>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</si>
  <si>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</si>
  <si>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</si>
  <si>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</si>
  <si>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</si>
  <si>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</si>
  <si>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</si>
  <si>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</si>
  <si>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</si>
  <si>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</si>
  <si>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</si>
  <si>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</si>
  <si>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</si>
  <si>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</si>
  <si>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</si>
  <si>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</si>
  <si>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</si>
  <si>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</si>
  <si>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</si>
  <si>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</si>
  <si>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</si>
  <si>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</si>
  <si>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</si>
  <si>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</si>
  <si>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</si>
  <si>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</si>
  <si>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</si>
  <si>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</si>
  <si>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</si>
  <si>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</si>
  <si>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</si>
  <si>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</si>
  <si>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</si>
  <si>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</si>
  <si>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</si>
  <si>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</si>
  <si>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</si>
  <si>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</si>
  <si>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</si>
  <si>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</si>
  <si>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</si>
  <si>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</si>
  <si>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</si>
  <si>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</si>
  <si>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</si>
  <si>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</si>
  <si>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</si>
  <si>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</si>
  <si>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</si>
  <si>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</si>
  <si>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</si>
  <si>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</si>
  <si>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</si>
  <si>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</si>
  <si>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</si>
  <si>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</si>
  <si>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</si>
  <si>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</si>
  <si>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</si>
  <si>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</si>
  <si>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</si>
  <si>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</si>
  <si>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</si>
  <si>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</si>
  <si>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</si>
  <si>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</si>
  <si>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</si>
  <si>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</si>
  <si>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</si>
  <si>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</si>
  <si>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</si>
  <si>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</si>
  <si>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</si>
  <si>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</si>
  <si>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</si>
  <si>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</si>
  <si>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</si>
  <si>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</si>
  <si>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</si>
  <si>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</si>
  <si>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</si>
  <si>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</si>
  <si>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</si>
  <si>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</si>
  <si>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</si>
  <si>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</si>
  <si>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</si>
  <si>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</si>
  <si>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</si>
  <si>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</si>
  <si>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</si>
  <si>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</si>
  <si>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</si>
  <si>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</si>
  <si>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</si>
  <si>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</si>
  <si>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</si>
  <si>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</si>
  <si>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</si>
  <si>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</si>
  <si>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</si>
  <si>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</si>
  <si>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</si>
  <si>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</si>
  <si>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</si>
  <si>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</si>
  <si>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</si>
  <si>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</si>
  <si>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</si>
  <si>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</si>
  <si>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</si>
  <si>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</si>
  <si>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</si>
  <si>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</si>
  <si>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</si>
  <si>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</si>
  <si>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</si>
  <si>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</si>
  <si>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</si>
  <si>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</si>
  <si>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</si>
  <si>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</si>
  <si>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</si>
  <si>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</si>
  <si>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</si>
  <si>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</si>
  <si>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</si>
  <si>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</si>
  <si>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</si>
  <si>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</si>
  <si>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</si>
  <si>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</si>
  <si>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</si>
  <si>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</si>
  <si>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</si>
  <si>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</si>
  <si>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</si>
  <si>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</si>
  <si>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</si>
  <si>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</si>
  <si>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</si>
  <si>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</si>
  <si>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</si>
  <si>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</si>
  <si>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</si>
  <si>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</si>
  <si>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</si>
  <si>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</si>
  <si>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</si>
  <si>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</si>
  <si>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</si>
  <si>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</si>
  <si>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</si>
  <si>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</si>
  <si>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</si>
  <si>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</si>
  <si>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</si>
  <si>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</si>
  <si>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</si>
  <si>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</si>
  <si>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</si>
  <si>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</si>
  <si>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</si>
  <si>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</si>
  <si>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</si>
  <si>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</si>
  <si>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</si>
  <si>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</si>
  <si>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</si>
  <si>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</si>
  <si>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</si>
  <si>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</si>
  <si>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</si>
  <si>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</si>
  <si>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</si>
  <si>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</si>
  <si>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</si>
  <si>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</si>
  <si>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</si>
  <si>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</si>
  <si>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</si>
  <si>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</si>
  <si>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</si>
  <si>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</si>
  <si>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</si>
  <si>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</si>
  <si>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</si>
  <si>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</si>
  <si>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</si>
  <si>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</si>
  <si>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</si>
  <si>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</si>
  <si>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</si>
  <si>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</si>
  <si>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</si>
  <si>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</si>
  <si>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</si>
  <si>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</si>
  <si>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</si>
  <si>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</si>
  <si>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</si>
  <si>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</si>
  <si>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</si>
  <si>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</si>
  <si>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</si>
  <si>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</si>
  <si>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</si>
  <si>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</si>
  <si>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</si>
  <si>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</si>
  <si>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</si>
  <si>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</si>
  <si>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</si>
  <si>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</si>
  <si>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</si>
  <si>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</si>
  <si>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</si>
  <si>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</si>
  <si>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</si>
  <si>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</si>
  <si>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</si>
  <si>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</si>
  <si>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</si>
  <si>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</si>
  <si>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</si>
  <si>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</si>
  <si>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</si>
  <si>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</si>
  <si>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</si>
  <si>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</si>
  <si>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</si>
  <si>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</si>
  <si>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</si>
  <si>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</si>
  <si>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</si>
  <si>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</si>
  <si>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</si>
  <si>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</si>
  <si>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</si>
  <si>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</si>
  <si>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</si>
  <si>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</si>
  <si>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</si>
  <si>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</si>
  <si>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</si>
  <si>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</si>
  <si>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</si>
  <si>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</si>
  <si>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</si>
  <si>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</si>
  <si>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</si>
  <si>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</si>
  <si>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</si>
  <si>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</si>
  <si>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</si>
  <si>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</si>
  <si>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</si>
  <si>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</si>
  <si>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</si>
  <si>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</si>
  <si>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</si>
  <si>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</si>
  <si>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</si>
  <si>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</si>
  <si>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</si>
  <si>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</si>
  <si>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</si>
  <si>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</si>
  <si>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</si>
  <si>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</si>
  <si>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</si>
  <si>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</si>
  <si>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</si>
  <si>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</si>
  <si>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</si>
  <si>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</si>
  <si>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</si>
  <si>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</si>
  <si>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</si>
  <si>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</si>
  <si>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</si>
  <si>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</si>
  <si>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</si>
  <si>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</si>
  <si>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</si>
  <si>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</si>
  <si>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</si>
  <si>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</si>
  <si>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</si>
  <si>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</si>
  <si>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</si>
  <si>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</si>
  <si>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</si>
  <si>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</si>
  <si>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</si>
  <si>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</si>
  <si>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</si>
  <si>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</si>
  <si>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</si>
  <si>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</si>
  <si>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</si>
  <si>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</si>
  <si>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</si>
  <si>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</si>
  <si>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</si>
  <si>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</si>
  <si>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</si>
  <si>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</si>
  <si>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</si>
  <si>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</si>
  <si>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</si>
  <si>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</si>
  <si>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</si>
  <si>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</si>
  <si>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</si>
  <si>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</si>
  <si>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</si>
  <si>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</si>
  <si>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</si>
  <si>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</si>
  <si>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</si>
  <si>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</si>
  <si>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</si>
  <si>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</si>
  <si>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</si>
  <si>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</si>
  <si>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</si>
  <si>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</si>
  <si>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</si>
  <si>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</si>
  <si>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</si>
  <si>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</si>
  <si>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</si>
  <si>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</si>
  <si>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</si>
  <si>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</si>
  <si>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</si>
  <si>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</si>
  <si>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</si>
  <si>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</si>
  <si>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</si>
  <si>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</si>
  <si>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</si>
  <si>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</si>
  <si>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</si>
  <si>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</si>
  <si>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</si>
  <si>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</si>
  <si>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</si>
  <si>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</si>
  <si>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</si>
  <si>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</si>
  <si>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</si>
  <si>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</si>
  <si>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</si>
  <si>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</si>
  <si>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</si>
  <si>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</si>
  <si>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</si>
  <si>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</si>
  <si>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</si>
  <si>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</si>
  <si>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</si>
  <si>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</si>
  <si>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</si>
  <si>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</si>
  <si>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</si>
  <si>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</si>
  <si>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</si>
  <si>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</si>
  <si>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</si>
  <si>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</si>
  <si>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</si>
  <si>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</si>
  <si>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</si>
  <si>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</si>
  <si>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</si>
  <si>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</si>
  <si>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</si>
  <si>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</si>
  <si>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</si>
  <si>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</si>
  <si>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</si>
  <si>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</si>
  <si>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</si>
  <si>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</si>
  <si>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</si>
  <si>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</si>
  <si>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</si>
  <si>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</si>
  <si>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</si>
  <si>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</si>
  <si>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</si>
  <si>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</si>
  <si>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</si>
  <si>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</si>
  <si>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</si>
  <si>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</si>
  <si>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</si>
  <si>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</si>
  <si>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</si>
  <si>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</si>
  <si>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</si>
  <si>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</si>
  <si>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</si>
  <si>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</si>
  <si>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</si>
  <si>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</si>
  <si>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</si>
  <si>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</si>
  <si>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</si>
  <si>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</si>
  <si>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</si>
  <si>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</si>
  <si>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</si>
  <si>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</si>
  <si>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</si>
  <si>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</si>
  <si>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</si>
  <si>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</si>
  <si>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</si>
  <si>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</si>
  <si>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</si>
  <si>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</si>
  <si>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</si>
  <si>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</si>
  <si>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</si>
  <si>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</si>
  <si>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</si>
  <si>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</si>
  <si>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</si>
  <si>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</si>
  <si>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</si>
  <si>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</si>
  <si>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</si>
  <si>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</si>
  <si>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</si>
  <si>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</si>
  <si>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</si>
  <si>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</si>
  <si>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</si>
  <si>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</si>
  <si>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</si>
  <si>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</si>
  <si>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</si>
  <si>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</si>
  <si>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</si>
  <si>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</si>
  <si>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</si>
  <si>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</si>
  <si>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</si>
  <si>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</si>
  <si>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</si>
  <si>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</si>
  <si>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</si>
  <si>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</si>
  <si>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</si>
  <si>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</si>
  <si>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</si>
  <si>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</si>
  <si>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</si>
  <si>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</si>
  <si>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</si>
  <si>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</si>
  <si>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</si>
  <si>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</si>
  <si>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</si>
  <si>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</si>
  <si>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</si>
  <si>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</si>
  <si>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</si>
  <si>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</si>
  <si>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</si>
  <si>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</si>
  <si>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</si>
  <si>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</si>
  <si>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</si>
  <si>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</si>
  <si>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</si>
  <si>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</si>
  <si>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</si>
  <si>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</si>
  <si>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</si>
  <si>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</si>
  <si>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</si>
  <si>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</si>
  <si>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</si>
  <si>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</si>
  <si>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</si>
  <si>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</si>
  <si>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</si>
  <si>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</si>
  <si>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</si>
  <si>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</si>
  <si>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</si>
  <si>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</si>
  <si>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</si>
  <si>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</si>
  <si>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</si>
  <si>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</si>
  <si>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</si>
  <si>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</si>
  <si>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</si>
  <si>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</si>
  <si>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</si>
  <si>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</si>
  <si>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</si>
  <si>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</si>
  <si>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</si>
  <si>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</si>
  <si>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</si>
  <si>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</si>
  <si>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</si>
  <si>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</si>
  <si>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</si>
  <si>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</si>
  <si>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</si>
  <si>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</si>
  <si>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</si>
  <si>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</si>
  <si>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</si>
  <si>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</si>
  <si>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</si>
  <si>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</si>
  <si>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</si>
  <si>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</si>
  <si>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</si>
  <si>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</si>
  <si>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</si>
  <si>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</si>
  <si>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</si>
  <si>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</si>
  <si>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</si>
  <si>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</si>
  <si>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</si>
  <si>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</si>
  <si>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</si>
  <si>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</si>
  <si>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</si>
  <si>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</si>
  <si>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</si>
  <si>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</si>
  <si>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</si>
  <si>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</si>
  <si>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</si>
  <si>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</si>
  <si>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</si>
  <si>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</si>
  <si>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</si>
  <si>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</si>
  <si>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</si>
  <si>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</si>
  <si>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</si>
  <si>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</si>
  <si>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</si>
  <si>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</si>
  <si>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</si>
  <si>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</si>
  <si>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</si>
  <si>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</si>
  <si>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</si>
  <si>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</si>
  <si>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</si>
  <si>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</si>
  <si>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</si>
  <si>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</si>
  <si>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</si>
  <si>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</si>
  <si>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</si>
  <si>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</si>
  <si>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</si>
  <si>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</si>
  <si>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</si>
  <si>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</si>
  <si>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</si>
  <si>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</si>
  <si>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</si>
  <si>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</si>
  <si>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</si>
  <si>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</si>
  <si>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</si>
  <si>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</si>
  <si>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</si>
  <si>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</si>
  <si>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</si>
  <si>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</si>
  <si>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</si>
  <si>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</si>
  <si>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</si>
  <si>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</si>
  <si>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</si>
  <si>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</si>
  <si>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</si>
  <si>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</si>
  <si>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</si>
  <si>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</si>
  <si>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</si>
  <si>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</si>
  <si>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</si>
  <si>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</si>
  <si>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</si>
  <si>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</si>
  <si>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</si>
  <si>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</si>
  <si>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</si>
  <si>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</si>
  <si>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</si>
  <si>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</si>
  <si>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</si>
  <si>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</si>
  <si>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</si>
  <si>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</si>
  <si>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</si>
  <si>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</si>
  <si>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</si>
  <si>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</si>
  <si>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</si>
  <si>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</si>
  <si>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</si>
  <si>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</si>
  <si>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</si>
  <si>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</si>
  <si>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</si>
  <si>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</si>
  <si>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</si>
  <si>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</si>
  <si>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</si>
  <si>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</si>
  <si>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</si>
  <si>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</si>
  <si>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</si>
  <si>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</si>
  <si>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</si>
  <si>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</si>
  <si>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</si>
  <si>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</si>
  <si>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</si>
  <si>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</si>
  <si>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</si>
  <si>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</si>
  <si>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</si>
  <si>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</si>
  <si>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</si>
  <si>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</si>
  <si>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</si>
  <si>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</si>
  <si>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</si>
  <si>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</si>
  <si>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</si>
  <si>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</si>
  <si>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</si>
  <si>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</si>
  <si>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</si>
  <si>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</si>
  <si>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</si>
  <si>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</si>
  <si>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</si>
  <si>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</si>
  <si>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</si>
  <si>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</si>
  <si>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</si>
  <si>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</si>
  <si>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</si>
  <si>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</si>
  <si>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</si>
  <si>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</si>
  <si>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</si>
  <si>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</si>
  <si>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</si>
  <si>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</si>
  <si>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</si>
  <si>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</si>
  <si>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</si>
  <si>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</si>
  <si>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</si>
  <si>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</si>
  <si>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</si>
  <si>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</si>
  <si>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</si>
  <si>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</si>
  <si>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</si>
  <si>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</si>
  <si>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</si>
  <si>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</si>
  <si>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</si>
  <si>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</si>
  <si>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</si>
  <si>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</si>
  <si>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</si>
  <si>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</si>
  <si>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</si>
  <si>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</si>
  <si>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</si>
  <si>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</si>
  <si>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</si>
  <si>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</si>
  <si>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</si>
  <si>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</si>
  <si>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</si>
  <si>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</si>
  <si>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</si>
  <si>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</si>
  <si>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</si>
  <si>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</si>
  <si>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</si>
  <si>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</si>
  <si>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</si>
  <si>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</si>
  <si>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</si>
  <si>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</si>
  <si>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</si>
  <si>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</si>
  <si>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</si>
  <si>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</si>
  <si>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</si>
  <si>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</si>
  <si>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</si>
  <si>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</si>
  <si>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</si>
  <si>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</si>
  <si>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</si>
  <si>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</si>
  <si>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</si>
  <si>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</si>
  <si>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</si>
  <si>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</si>
  <si>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</si>
  <si>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</si>
  <si>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</si>
  <si>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</si>
  <si>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</si>
  <si>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</si>
  <si>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</si>
  <si>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</si>
  <si>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</si>
  <si>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</si>
  <si>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</si>
  <si>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</si>
  <si>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</si>
  <si>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</si>
  <si>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</si>
  <si>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</si>
  <si>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</si>
  <si>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</si>
  <si>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</si>
  <si>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</si>
  <si>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</si>
  <si>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</si>
  <si>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</si>
  <si>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</si>
  <si>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</si>
  <si>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</si>
  <si>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</si>
  <si>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</si>
  <si>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</si>
  <si>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</si>
  <si>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</si>
  <si>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</si>
  <si>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</si>
  <si>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</si>
  <si>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</si>
  <si>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</si>
  <si>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</si>
  <si>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</si>
  <si>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</si>
  <si>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</si>
  <si>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</si>
  <si>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</si>
  <si>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</si>
  <si>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</si>
  <si>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</si>
  <si>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</si>
  <si>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</si>
  <si>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</si>
  <si>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</si>
  <si>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</si>
  <si>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</si>
  <si>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</si>
  <si>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</si>
  <si>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</si>
  <si>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</si>
  <si>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</si>
  <si>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</si>
  <si>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</si>
  <si>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</si>
  <si>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</si>
  <si>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</si>
  <si>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</si>
  <si>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</si>
  <si>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</si>
  <si>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</si>
  <si>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</si>
  <si>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</si>
  <si>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</si>
  <si>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</si>
  <si>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</si>
  <si>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</si>
  <si>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</si>
  <si>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</si>
  <si>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</si>
  <si>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</si>
  <si>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</si>
  <si>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</si>
  <si>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</si>
  <si>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</si>
  <si>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</si>
  <si>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</si>
  <si>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</si>
  <si>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</si>
  <si>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</si>
  <si>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</si>
  <si>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</si>
  <si>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</si>
  <si>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</si>
  <si>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</si>
  <si>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</si>
  <si>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</si>
  <si>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</si>
  <si>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</si>
  <si>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</si>
  <si>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</si>
  <si>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</si>
  <si>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</si>
  <si>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</si>
  <si>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</si>
  <si>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</si>
  <si>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</si>
  <si>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</si>
  <si>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</si>
  <si>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</si>
  <si>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</si>
  <si>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</si>
  <si>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</si>
  <si>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</si>
  <si>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</si>
  <si>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</si>
  <si>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</si>
  <si>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</si>
  <si>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</si>
  <si>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</si>
  <si>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</si>
  <si>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</si>
  <si>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</si>
  <si>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</si>
  <si>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</si>
  <si>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</si>
  <si>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</si>
  <si>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</si>
  <si>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</si>
  <si>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</si>
  <si>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</si>
  <si>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</si>
  <si>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</si>
  <si>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</si>
  <si>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</si>
  <si>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</si>
  <si>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</si>
  <si>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</si>
  <si>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</si>
  <si>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</si>
  <si>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</si>
  <si>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</si>
  <si>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</si>
  <si>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</si>
  <si>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</si>
  <si>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</si>
  <si>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</si>
  <si>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</si>
  <si>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</si>
  <si>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</si>
  <si>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</si>
  <si>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</si>
  <si>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</si>
  <si>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</si>
  <si>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</si>
  <si>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</si>
  <si>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</si>
  <si>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</si>
  <si>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</si>
  <si>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</si>
  <si>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</si>
  <si>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</si>
  <si>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</si>
  <si>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</si>
  <si>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</si>
  <si>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</si>
  <si>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</si>
  <si>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</si>
  <si>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</si>
  <si>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</si>
  <si>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</si>
  <si>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</si>
  <si>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</si>
  <si>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</si>
  <si>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</si>
  <si>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</si>
  <si>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</si>
  <si>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</si>
  <si>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</si>
  <si>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</si>
  <si>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</si>
  <si>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</si>
  <si>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</si>
  <si>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</si>
  <si>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</si>
  <si>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</si>
  <si>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</si>
  <si>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</si>
  <si>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</si>
  <si>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</si>
  <si>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</si>
  <si>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</si>
  <si>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</si>
  <si>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</si>
  <si>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</si>
  <si>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</si>
  <si>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</si>
  <si>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</si>
  <si>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</si>
  <si>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</si>
  <si>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</si>
  <si>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</si>
  <si>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</si>
  <si>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</si>
  <si>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</si>
  <si>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</si>
  <si>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</si>
  <si>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</si>
  <si>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</si>
  <si>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</si>
  <si>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</si>
  <si>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</si>
  <si>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</si>
  <si>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</si>
  <si>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</si>
  <si>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</si>
  <si>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</si>
  <si>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</si>
  <si>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</si>
  <si>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</si>
  <si>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</si>
  <si>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</si>
  <si>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</si>
  <si>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</si>
  <si>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</si>
  <si>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</si>
  <si>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</si>
  <si>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</si>
  <si>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</si>
  <si>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</si>
  <si>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</si>
  <si>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</si>
  <si>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</si>
  <si>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</si>
  <si>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</si>
  <si>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</si>
  <si>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</si>
  <si>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</si>
  <si>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</si>
  <si>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</si>
  <si>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</si>
  <si>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</si>
  <si>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</si>
  <si>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</si>
  <si>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</si>
  <si>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</si>
  <si>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</si>
  <si>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</si>
  <si>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</si>
  <si>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</si>
  <si>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</si>
  <si>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</si>
  <si>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</si>
  <si>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</si>
  <si>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</si>
  <si>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</si>
  <si>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</si>
  <si>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</si>
  <si>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</si>
  <si>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</si>
  <si>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</si>
  <si>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</si>
  <si>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</si>
  <si>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</si>
  <si>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</si>
  <si>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</si>
  <si>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</si>
  <si>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</si>
  <si>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</si>
  <si>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</si>
  <si>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</si>
  <si>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</si>
  <si>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</si>
  <si>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</si>
  <si>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</si>
  <si>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</si>
  <si>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</si>
  <si>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</si>
  <si>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</si>
  <si>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</si>
  <si>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</si>
  <si>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</si>
  <si>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</si>
  <si>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</si>
  <si>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</si>
  <si>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</si>
  <si>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</si>
  <si>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</si>
  <si>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</si>
  <si>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</si>
  <si>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</si>
  <si>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</si>
  <si>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</si>
  <si>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</si>
  <si>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</si>
  <si>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</si>
  <si>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</si>
  <si>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</si>
  <si>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</si>
  <si>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</si>
  <si>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</si>
  <si>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</si>
  <si>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</si>
  <si>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</si>
  <si>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</si>
  <si>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</si>
  <si>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</si>
  <si>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</si>
  <si>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</si>
  <si>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</si>
  <si>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</si>
  <si>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</si>
  <si>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</si>
  <si>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</si>
  <si>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</si>
  <si>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</si>
  <si>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</si>
  <si>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</si>
  <si>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</si>
  <si>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</si>
  <si>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</si>
  <si>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</si>
  <si>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</si>
  <si>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</si>
  <si>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</si>
  <si>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</si>
  <si>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</si>
  <si>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</si>
  <si>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</si>
  <si>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</si>
  <si>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</si>
  <si>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</si>
  <si>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</si>
  <si>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</si>
  <si>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</si>
  <si>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</si>
  <si>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</si>
  <si>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</si>
  <si>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</si>
  <si>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</si>
  <si>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</si>
  <si>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</si>
  <si>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</si>
  <si>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</si>
  <si>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</si>
  <si>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</si>
  <si>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</si>
  <si>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</si>
  <si>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</si>
  <si>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</si>
  <si>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</si>
  <si>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</si>
  <si>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</si>
  <si>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</si>
  <si>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</si>
  <si>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</si>
  <si>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</si>
  <si>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</si>
  <si>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</si>
  <si>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</si>
  <si>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</si>
  <si>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</si>
  <si>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</si>
  <si>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</si>
  <si>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</si>
  <si>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</si>
  <si>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</si>
  <si>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</si>
  <si>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</si>
  <si>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</si>
  <si>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</si>
  <si>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</si>
  <si>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</si>
  <si>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</si>
  <si>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</si>
  <si>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</si>
  <si>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</si>
  <si>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</si>
  <si>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</si>
  <si>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</si>
  <si>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</si>
  <si>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</si>
  <si>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</si>
  <si>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</si>
  <si>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</si>
  <si>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</si>
  <si>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</si>
  <si>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</si>
  <si>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</si>
  <si>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</si>
  <si>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</si>
  <si>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</si>
  <si>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</si>
  <si>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</si>
  <si>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</si>
  <si>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</si>
  <si>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</si>
  <si>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</si>
  <si>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</si>
  <si>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</si>
  <si>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</si>
  <si>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</si>
  <si>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</si>
  <si>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</si>
  <si>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</si>
  <si>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</si>
  <si>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</si>
  <si>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</si>
  <si>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</si>
  <si>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</si>
  <si>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</si>
  <si>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</si>
  <si>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</si>
  <si>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</si>
  <si>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</si>
  <si>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</si>
  <si>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</si>
  <si>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</si>
  <si>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</si>
  <si>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</si>
  <si>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</si>
  <si>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</si>
  <si>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</si>
  <si>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</si>
  <si>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</si>
  <si>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</si>
  <si>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</si>
  <si>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</si>
  <si>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</si>
  <si>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</si>
  <si>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</si>
  <si>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</si>
  <si>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</si>
  <si>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</si>
  <si>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</si>
  <si>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</si>
  <si>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</si>
  <si>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</si>
  <si>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</si>
  <si>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</si>
  <si>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</si>
  <si>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</si>
  <si>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</si>
  <si>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</si>
  <si>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</si>
  <si>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</si>
  <si>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</si>
  <si>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</si>
  <si>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</si>
  <si>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</si>
  <si>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</si>
  <si>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</si>
  <si>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</si>
  <si>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</si>
  <si>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</si>
  <si>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</si>
  <si>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</si>
  <si>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</si>
  <si>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</si>
  <si>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</si>
  <si>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</si>
  <si>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</si>
  <si>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</si>
  <si>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</si>
  <si>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</si>
  <si>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</si>
  <si>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</si>
  <si>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</si>
  <si>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</si>
  <si>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</si>
  <si>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</si>
  <si>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</si>
  <si>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</si>
  <si>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</si>
  <si>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</si>
  <si>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</si>
  <si>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</si>
  <si>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</si>
  <si>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</si>
  <si>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</si>
  <si>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</si>
  <si>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</si>
  <si>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</si>
  <si>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</si>
  <si>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</si>
  <si>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</si>
  <si>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</si>
  <si>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</si>
  <si>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</si>
  <si>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</si>
  <si>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</si>
  <si>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</si>
  <si>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</si>
  <si>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</si>
  <si>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</si>
  <si>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</si>
  <si>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</si>
  <si>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</si>
  <si>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</si>
  <si>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</si>
  <si>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</si>
  <si>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</si>
  <si>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</si>
  <si>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</si>
  <si>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</si>
  <si>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</si>
  <si>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</si>
  <si>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</si>
  <si>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</si>
  <si>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</si>
  <si>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</si>
  <si>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</si>
  <si>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</si>
  <si>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</si>
  <si>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</si>
  <si>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</si>
  <si>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</si>
  <si>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</si>
  <si>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</si>
  <si>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</si>
  <si>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</si>
  <si>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</si>
  <si>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</si>
  <si>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</si>
  <si>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</si>
  <si>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</si>
  <si>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</si>
  <si>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</si>
  <si>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</si>
  <si>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</si>
  <si>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</si>
  <si>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</si>
  <si>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</si>
  <si>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</si>
  <si>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</si>
  <si>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</si>
  <si>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</si>
  <si>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</si>
  <si>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</si>
  <si>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</si>
  <si>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</si>
  <si>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</si>
  <si>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</si>
  <si>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</si>
  <si>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</si>
  <si>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</si>
  <si>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</si>
  <si>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</si>
  <si>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</si>
  <si>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</si>
  <si>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</si>
  <si>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</si>
  <si>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</si>
  <si>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</si>
  <si>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</si>
  <si>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</si>
  <si>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</si>
  <si>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</si>
  <si>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</si>
  <si>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</si>
  <si>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</si>
  <si>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</si>
  <si>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</si>
  <si>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</si>
  <si>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</si>
  <si>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</si>
  <si>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</si>
  <si>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</si>
  <si>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</si>
  <si>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</si>
  <si>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</si>
  <si>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</si>
  <si>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</si>
  <si>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</si>
  <si>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</si>
  <si>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</si>
  <si>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</si>
  <si>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</si>
  <si>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</si>
  <si>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</si>
  <si>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</si>
  <si>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</si>
  <si>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</si>
  <si>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</si>
  <si>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</si>
  <si>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</si>
  <si>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</si>
  <si>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</si>
  <si>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</si>
  <si>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</si>
  <si>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</si>
  <si>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</si>
  <si>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</si>
  <si>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</si>
  <si>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</si>
  <si>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</si>
  <si>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</si>
  <si>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</si>
  <si>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</si>
  <si>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</si>
  <si>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</si>
  <si>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</si>
  <si>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</si>
  <si>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</si>
  <si>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</si>
  <si>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</si>
  <si>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</si>
  <si>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</si>
  <si>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</si>
  <si>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</si>
  <si>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</si>
  <si>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</si>
  <si>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</si>
  <si>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</si>
  <si>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</si>
  <si>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</si>
  <si>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</si>
  <si>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</si>
  <si>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</si>
  <si>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</si>
  <si>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</si>
  <si>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</si>
  <si>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</si>
  <si>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</si>
  <si>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</si>
  <si>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</si>
  <si>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</si>
  <si>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</si>
  <si>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</si>
  <si>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</si>
  <si>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</si>
  <si>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</si>
  <si>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</si>
  <si>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</si>
  <si>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</si>
  <si>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</si>
  <si>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</si>
  <si>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</si>
  <si>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</si>
  <si>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</si>
  <si>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</si>
  <si>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</si>
  <si>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</si>
  <si>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</si>
  <si>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</si>
  <si>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</si>
  <si>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</si>
  <si>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</si>
  <si>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</si>
  <si>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</si>
  <si>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</si>
  <si>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</si>
  <si>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</si>
  <si>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</si>
  <si>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</si>
  <si>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</si>
  <si>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</si>
  <si>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</si>
  <si>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</si>
  <si>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</si>
  <si>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</si>
  <si>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</si>
  <si>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</si>
  <si>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</si>
  <si>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</si>
  <si>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</si>
  <si>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</si>
  <si>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</si>
  <si>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</si>
  <si>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</si>
  <si>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</si>
  <si>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</si>
  <si>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</si>
  <si>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</si>
  <si>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</si>
  <si>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</si>
  <si>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</si>
  <si>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</si>
  <si>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</si>
  <si>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</si>
  <si>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</si>
  <si>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</si>
  <si>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</si>
  <si>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</si>
  <si>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</si>
  <si>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</si>
  <si>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</si>
  <si>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</si>
  <si>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</si>
  <si>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</si>
  <si>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</si>
  <si>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</si>
  <si>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</si>
  <si>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</si>
  <si>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</si>
  <si>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</si>
  <si>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</si>
  <si>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</si>
  <si>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</si>
  <si>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</si>
  <si>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</si>
  <si>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</si>
  <si>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</si>
  <si>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</si>
  <si>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</si>
  <si>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</si>
  <si>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</si>
  <si>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</si>
  <si>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</si>
  <si>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</si>
  <si>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</si>
  <si>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</si>
  <si>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</si>
  <si>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</si>
  <si>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</si>
  <si>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</si>
  <si>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</si>
  <si>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</si>
  <si>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</si>
  <si>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</si>
  <si>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</si>
  <si>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</si>
  <si>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</si>
  <si>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</si>
  <si>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</si>
  <si>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</si>
  <si>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</si>
  <si>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</si>
  <si>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</si>
  <si>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</si>
  <si>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</si>
  <si>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</si>
  <si>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</si>
  <si>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</si>
  <si>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</si>
  <si>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</si>
  <si>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</si>
  <si>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</si>
  <si>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</si>
  <si>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</si>
  <si>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</si>
  <si>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</si>
  <si>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</si>
  <si>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</si>
  <si>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</si>
  <si>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</si>
  <si>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</si>
  <si>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</si>
  <si>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</si>
  <si>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</si>
  <si>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</si>
  <si>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</si>
  <si>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</si>
  <si>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</si>
  <si>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</si>
  <si>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</si>
  <si>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</si>
  <si>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</si>
  <si>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</si>
  <si>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</si>
  <si>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</si>
  <si>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</si>
  <si>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</si>
  <si>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</si>
  <si>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</si>
  <si>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</si>
  <si>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</si>
  <si>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</si>
  <si>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</si>
  <si>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</si>
  <si>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</si>
  <si>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</si>
  <si>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</si>
  <si>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</si>
  <si>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</si>
  <si>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</si>
  <si>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</si>
  <si>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</si>
  <si>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</si>
  <si>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</si>
  <si>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</si>
  <si>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</si>
  <si>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</si>
  <si>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</si>
  <si>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</si>
  <si>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</si>
  <si>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</si>
  <si>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</si>
  <si>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</si>
  <si>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</si>
  <si>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</si>
  <si>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</si>
  <si>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</si>
  <si>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</si>
  <si>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</si>
  <si>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</si>
  <si>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</si>
  <si>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</si>
  <si>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</si>
  <si>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</si>
  <si>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</si>
  <si>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</si>
  <si>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</si>
  <si>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</si>
  <si>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</si>
  <si>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</si>
  <si>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</si>
  <si>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</si>
  <si>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</si>
  <si>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</si>
  <si>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</si>
  <si>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</si>
  <si>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</si>
  <si>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</si>
  <si>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</si>
  <si>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</si>
  <si>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</si>
  <si>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</si>
  <si>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</si>
  <si>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</si>
  <si>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</si>
  <si>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</si>
  <si>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</si>
  <si>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</si>
  <si>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</si>
  <si>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</si>
  <si>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</si>
  <si>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</si>
  <si>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</si>
  <si>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</si>
  <si>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</si>
  <si>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</si>
  <si>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</si>
  <si>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</si>
  <si>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</si>
  <si>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</si>
  <si>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</si>
  <si>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</si>
  <si>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</si>
  <si>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</si>
  <si>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</si>
  <si>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</si>
  <si>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</si>
  <si>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</si>
  <si>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</si>
  <si>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</si>
  <si>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</si>
  <si>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</si>
  <si>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</si>
  <si>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</si>
  <si>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</si>
  <si>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</si>
  <si>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</si>
  <si>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</si>
  <si>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</si>
  <si>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</si>
  <si>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</si>
  <si>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</si>
  <si>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</si>
  <si>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</si>
  <si>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</si>
  <si>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</si>
  <si>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</si>
  <si>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</si>
  <si>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</si>
  <si>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</si>
  <si>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</si>
  <si>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</si>
  <si>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</si>
  <si>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</si>
  <si>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</si>
  <si>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</si>
  <si>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</si>
  <si>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</si>
  <si>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</si>
  <si>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</si>
  <si>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</si>
  <si>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</si>
  <si>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</si>
  <si>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</si>
  <si>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</si>
  <si>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</si>
  <si>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</si>
  <si>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</si>
  <si>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</si>
  <si>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</si>
  <si>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</si>
  <si>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</si>
  <si>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</si>
  <si>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</si>
  <si>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</si>
  <si>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</si>
  <si>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</si>
  <si>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</si>
  <si>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</si>
  <si>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</si>
  <si>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</si>
  <si>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</si>
  <si>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</si>
  <si>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</si>
  <si>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</si>
  <si>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</si>
  <si>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</si>
  <si>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</si>
  <si>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</si>
  <si>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</si>
  <si>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</si>
  <si>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</si>
  <si>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</si>
  <si>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</si>
  <si>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</si>
  <si>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</si>
  <si>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</si>
  <si>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</si>
  <si>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</si>
  <si>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</si>
  <si>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</si>
  <si>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</si>
  <si>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</si>
  <si>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</si>
  <si>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</si>
  <si>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</si>
  <si>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</si>
  <si>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</si>
  <si>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</si>
  <si>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</si>
  <si>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</si>
  <si>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</si>
  <si>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</si>
  <si>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</si>
  <si>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</si>
  <si>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</si>
  <si>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</si>
  <si>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</si>
  <si>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</si>
  <si>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</si>
  <si>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</si>
  <si>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</si>
  <si>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</si>
  <si>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</si>
  <si>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</si>
  <si>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</si>
  <si>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</si>
  <si>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</si>
  <si>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</si>
  <si>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</si>
  <si>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</si>
  <si>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</si>
  <si>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</si>
  <si>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</si>
  <si>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</si>
  <si>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</si>
  <si>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</si>
  <si>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</si>
  <si>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</si>
  <si>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</si>
  <si>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</si>
  <si>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</si>
  <si>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</si>
  <si>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</si>
  <si>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</si>
  <si>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</si>
  <si>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</si>
  <si>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</si>
  <si>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</si>
  <si>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</si>
  <si>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</si>
  <si>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</si>
  <si>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</si>
  <si>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</si>
  <si>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</si>
  <si>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</si>
  <si>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</si>
  <si>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</si>
  <si>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</si>
  <si>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</si>
  <si>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</si>
  <si>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</si>
  <si>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</si>
  <si>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</si>
  <si>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</si>
  <si>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</si>
  <si>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</si>
  <si>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</si>
  <si>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</si>
  <si>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</si>
  <si>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</si>
  <si>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</si>
  <si>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</si>
  <si>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</si>
  <si>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</si>
  <si>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</si>
  <si>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</si>
  <si>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</si>
  <si>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</si>
  <si>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</si>
  <si>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</si>
  <si>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</si>
  <si>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</si>
  <si>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</si>
  <si>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</si>
  <si>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</si>
  <si>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</si>
  <si>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</si>
  <si>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</si>
  <si>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</si>
  <si>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</si>
  <si>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</si>
  <si>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</si>
  <si>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</si>
  <si>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</si>
  <si>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</si>
  <si>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</si>
  <si>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</si>
  <si>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</si>
  <si>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</si>
  <si>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</si>
  <si>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</si>
  <si>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</si>
  <si>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</si>
  <si>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</si>
  <si>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</si>
  <si>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</si>
  <si>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</si>
  <si>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</si>
  <si>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</si>
  <si>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</si>
  <si>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</si>
  <si>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</si>
  <si>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</si>
  <si>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</si>
  <si>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</si>
  <si>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</si>
  <si>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</si>
  <si>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</si>
  <si>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</si>
  <si>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</si>
  <si>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</si>
  <si>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</si>
  <si>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</si>
  <si>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</si>
  <si>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</si>
  <si>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</si>
  <si>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</si>
  <si>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</si>
  <si>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</si>
  <si>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</si>
  <si>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</si>
  <si>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</si>
  <si>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</si>
  <si>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</si>
  <si>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</si>
  <si>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</si>
  <si>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</si>
  <si>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</si>
  <si>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</si>
  <si>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</si>
  <si>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</si>
  <si>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</si>
  <si>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</si>
  <si>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</si>
  <si>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</si>
  <si>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</si>
  <si>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</si>
  <si>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</si>
  <si>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</si>
  <si>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</si>
  <si>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</si>
  <si>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</si>
  <si>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</si>
  <si>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</si>
  <si>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</si>
  <si>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</si>
  <si>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</si>
  <si>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</si>
  <si>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</si>
  <si>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</si>
  <si>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</si>
  <si>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</si>
  <si>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</si>
  <si>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</si>
  <si>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</si>
  <si>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</si>
  <si>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</si>
  <si>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</si>
  <si>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</si>
  <si>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</si>
  <si>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</si>
  <si>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</si>
  <si>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</si>
  <si>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</si>
  <si>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</si>
  <si>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</si>
  <si>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</si>
  <si>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</si>
  <si>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</si>
  <si>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</si>
  <si>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</si>
  <si>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</si>
  <si>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</si>
  <si>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</si>
  <si>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</si>
  <si>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</si>
  <si>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</si>
  <si>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</si>
  <si>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</si>
  <si>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</si>
  <si>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</si>
  <si>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</si>
  <si>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</si>
  <si>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</si>
  <si>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</si>
  <si>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</si>
  <si>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</si>
  <si>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</si>
  <si>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</si>
  <si>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</si>
  <si>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</si>
  <si>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</si>
  <si>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</si>
  <si>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</si>
  <si>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</si>
  <si>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</si>
  <si>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</si>
  <si>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</si>
  <si>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</si>
  <si>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</si>
  <si>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</si>
  <si>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</si>
  <si>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</si>
  <si>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</si>
  <si>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</si>
  <si>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</si>
  <si>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</si>
  <si>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</si>
  <si>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</si>
  <si>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</si>
  <si>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</si>
  <si>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</si>
  <si>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</si>
  <si>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</si>
  <si>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</si>
  <si>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</si>
  <si>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</si>
  <si>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</si>
  <si>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</si>
  <si>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</si>
  <si>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</si>
  <si>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</si>
  <si>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</si>
  <si>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</si>
  <si>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</si>
  <si>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</si>
  <si>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</si>
  <si>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</si>
  <si>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</si>
  <si>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</si>
  <si>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</si>
  <si>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</si>
  <si>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</si>
  <si>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</si>
  <si>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</si>
  <si>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</si>
  <si>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</si>
  <si>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</si>
  <si>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</si>
  <si>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</si>
  <si>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</si>
  <si>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</si>
  <si>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</si>
  <si>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</si>
  <si>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</si>
  <si>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</si>
  <si>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</si>
  <si>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</si>
  <si>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</si>
  <si>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</si>
  <si>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</si>
  <si>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</si>
  <si>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</si>
  <si>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</si>
  <si>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</si>
  <si>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</si>
  <si>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</si>
  <si>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</si>
  <si>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</si>
  <si>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</si>
  <si>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</si>
  <si>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</si>
  <si>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</si>
  <si>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</si>
  <si>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</si>
  <si>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</si>
  <si>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</si>
  <si>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</si>
  <si>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</si>
  <si>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</si>
  <si>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</si>
  <si>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</si>
  <si>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</si>
  <si>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</si>
  <si>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</si>
  <si>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</si>
  <si>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</si>
  <si>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</si>
  <si>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</si>
  <si>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</si>
  <si>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</si>
  <si>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</si>
  <si>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</si>
  <si>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</si>
  <si>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</si>
  <si>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</si>
  <si>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</si>
  <si>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</si>
  <si>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</si>
  <si>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</si>
  <si>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</si>
  <si>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</si>
  <si>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</si>
  <si>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</si>
  <si>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</si>
  <si>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</si>
  <si>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</si>
  <si>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</si>
  <si>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</si>
  <si>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</si>
  <si>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</si>
  <si>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</si>
  <si>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</si>
  <si>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</si>
  <si>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</si>
  <si>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</si>
  <si>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</si>
  <si>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</si>
  <si>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</si>
  <si>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</si>
  <si>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</si>
  <si>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</si>
  <si>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</si>
  <si>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</si>
  <si>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</si>
  <si>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</si>
  <si>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</si>
  <si>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</si>
  <si>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</si>
  <si>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</si>
  <si>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</si>
  <si>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</si>
  <si>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</si>
  <si>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</si>
  <si>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</si>
  <si>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</si>
  <si>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</si>
  <si>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</si>
  <si>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</si>
  <si>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</si>
  <si>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</si>
  <si>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</si>
  <si>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</si>
  <si>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</si>
  <si>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</si>
  <si>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</si>
  <si>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</si>
  <si>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</si>
  <si>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</si>
  <si>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</si>
  <si>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</si>
  <si>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</si>
  <si>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</si>
  <si>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</si>
  <si>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</si>
  <si>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</si>
  <si>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</si>
  <si>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</si>
  <si>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</si>
  <si>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</si>
  <si>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</si>
  <si>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</si>
  <si>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</si>
  <si>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</si>
  <si>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</si>
  <si>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</si>
  <si>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</si>
  <si>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</si>
  <si>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</si>
  <si>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</si>
  <si>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</si>
  <si>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</si>
  <si>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</si>
  <si>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</si>
  <si>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</si>
  <si>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</si>
  <si>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</si>
  <si>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</si>
  <si>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</si>
  <si>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</si>
  <si>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</si>
  <si>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</si>
  <si>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</si>
  <si>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</si>
  <si>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</si>
  <si>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</si>
  <si>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</si>
  <si>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</si>
  <si>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</si>
  <si>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</si>
  <si>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</si>
  <si>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</si>
  <si>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</si>
  <si>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</si>
  <si>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</si>
  <si>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</si>
  <si>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</si>
  <si>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</si>
  <si>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</si>
  <si>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</si>
  <si>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</si>
  <si>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</si>
  <si>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</si>
  <si>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</si>
  <si>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</si>
  <si>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</si>
  <si>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</si>
  <si>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</si>
  <si>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</si>
  <si>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</si>
  <si>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</si>
  <si>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</si>
  <si>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</si>
  <si>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</si>
  <si>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</si>
  <si>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</si>
  <si>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</si>
  <si>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</si>
  <si>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</si>
  <si>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</si>
  <si>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</si>
  <si>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</si>
  <si>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</si>
  <si>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</si>
  <si>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</si>
  <si>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</si>
  <si>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</si>
  <si>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</si>
  <si>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</si>
  <si>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</si>
  <si>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</si>
  <si>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</si>
  <si>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</si>
  <si>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</si>
  <si>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</si>
  <si>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</si>
  <si>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</si>
  <si>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</si>
  <si>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</si>
  <si>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</si>
  <si>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</si>
  <si>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</si>
  <si>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</si>
  <si>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</si>
  <si>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</si>
  <si>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</si>
  <si>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</si>
  <si>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</si>
  <si>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</si>
  <si>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</si>
  <si>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</si>
  <si>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</si>
  <si>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</si>
  <si>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</si>
  <si>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</si>
  <si>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</si>
  <si>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</si>
  <si>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</si>
  <si>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</si>
  <si>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</si>
  <si>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</si>
  <si>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</si>
  <si>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</si>
  <si>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</si>
  <si>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</si>
  <si>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</si>
  <si>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</si>
  <si>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</si>
  <si>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</si>
  <si>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</si>
  <si>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</si>
  <si>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</si>
  <si>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</si>
  <si>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</si>
  <si>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</si>
  <si>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</si>
  <si>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</si>
  <si>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</si>
  <si>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</si>
  <si>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</si>
  <si>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</si>
  <si>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</si>
  <si>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</si>
  <si>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</si>
  <si>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</si>
  <si>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</si>
  <si>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</si>
  <si>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</si>
  <si>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</si>
  <si>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</si>
  <si>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</si>
  <si>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</si>
  <si>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</si>
  <si>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</si>
  <si>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</si>
  <si>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</si>
  <si>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</si>
  <si>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</si>
  <si>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</si>
  <si>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</si>
  <si>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</si>
  <si>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</si>
  <si>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</si>
  <si>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</si>
  <si>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</si>
  <si>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</si>
  <si>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</si>
  <si>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</si>
  <si>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</si>
  <si>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</si>
  <si>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</si>
  <si>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</si>
  <si>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</si>
  <si>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</si>
  <si>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</si>
  <si>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</si>
  <si>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</si>
  <si>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</si>
  <si>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</si>
  <si>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</si>
  <si>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</si>
  <si>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</si>
  <si>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</si>
  <si>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</si>
  <si>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</si>
  <si>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</si>
  <si>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</si>
  <si>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</si>
  <si>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</si>
  <si>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</si>
  <si>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</si>
  <si>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</si>
  <si>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</si>
  <si>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</si>
  <si>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</si>
  <si>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</si>
  <si>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</si>
  <si>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</si>
  <si>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</si>
  <si>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</si>
  <si>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</si>
  <si>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</si>
  <si>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</si>
  <si>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</si>
  <si>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</si>
  <si>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</si>
  <si>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</si>
  <si>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</si>
  <si>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</si>
  <si>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</si>
  <si>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</si>
  <si>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</si>
  <si>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</si>
  <si>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</si>
  <si>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</si>
  <si>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</si>
  <si>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</si>
  <si>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</si>
  <si>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</si>
  <si>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</si>
  <si>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</si>
  <si>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</si>
  <si>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</si>
  <si>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</si>
  <si>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</si>
  <si>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</si>
  <si>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</si>
  <si>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</si>
  <si>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</si>
  <si>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</si>
  <si>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</si>
  <si>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</si>
  <si>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</si>
  <si>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</si>
  <si>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</si>
  <si>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</si>
  <si>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</si>
  <si>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</si>
  <si>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</si>
  <si>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</si>
  <si>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</si>
  <si>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</si>
  <si>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</si>
  <si>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</si>
  <si>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</si>
  <si>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</si>
  <si>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</si>
  <si>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</si>
  <si>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</si>
  <si>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</si>
  <si>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</si>
  <si>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</si>
  <si>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</si>
  <si>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</si>
  <si>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</si>
  <si>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</si>
  <si>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</si>
  <si>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</si>
  <si>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</si>
  <si>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</si>
  <si>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</si>
  <si>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</si>
  <si>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</si>
  <si>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</si>
  <si>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</si>
  <si>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</si>
  <si>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</si>
  <si>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</si>
  <si>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</si>
  <si>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</si>
  <si>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</si>
  <si>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</si>
  <si>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</si>
  <si>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</si>
  <si>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</si>
  <si>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</si>
  <si>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</si>
  <si>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</si>
  <si>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</si>
  <si>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</si>
  <si>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</si>
  <si>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</si>
  <si>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</si>
  <si>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</si>
  <si>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</si>
  <si>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</si>
  <si>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</si>
  <si>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</si>
  <si>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</si>
  <si>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</si>
  <si>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</si>
  <si>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</si>
  <si>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</si>
  <si>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</si>
  <si>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</si>
  <si>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</si>
  <si>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</si>
  <si>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</si>
  <si>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</si>
  <si>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</si>
  <si>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</si>
  <si>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</si>
  <si>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</si>
  <si>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</si>
  <si>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</si>
  <si>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</si>
  <si>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</si>
  <si>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</si>
  <si>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</si>
  <si>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</si>
  <si>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</si>
  <si>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</si>
  <si>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</si>
  <si>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</si>
  <si>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</si>
  <si>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</si>
  <si>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</si>
  <si>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</si>
  <si>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</si>
  <si>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</si>
  <si>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</si>
  <si>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</si>
  <si>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</si>
  <si>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</si>
  <si>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</si>
  <si>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</si>
  <si>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</si>
  <si>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</si>
  <si>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</si>
  <si>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</si>
  <si>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</si>
  <si>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</si>
  <si>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</si>
  <si>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</si>
  <si>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</si>
  <si>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</si>
  <si>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</si>
  <si>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</si>
  <si>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</si>
  <si>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</si>
  <si>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</si>
  <si>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</si>
  <si>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</si>
  <si>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</si>
  <si>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</si>
  <si>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</si>
  <si>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</si>
  <si>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</si>
  <si>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</si>
  <si>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</si>
  <si>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</si>
  <si>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</si>
  <si>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</si>
  <si>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</si>
  <si>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</si>
  <si>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</si>
  <si>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</si>
  <si>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</si>
  <si>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</si>
  <si>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</si>
  <si>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</si>
  <si>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</si>
  <si>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</si>
  <si>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</si>
  <si>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</si>
  <si>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</si>
  <si>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</si>
  <si>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</si>
  <si>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</si>
  <si>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</si>
  <si>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</si>
  <si>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</si>
  <si>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</si>
  <si>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</si>
  <si>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</si>
  <si>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</si>
  <si>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</si>
  <si>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</si>
  <si>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</si>
  <si>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</si>
  <si>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</si>
  <si>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</si>
  <si>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</si>
  <si>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</si>
  <si>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</si>
  <si>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</si>
  <si>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</si>
  <si>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</si>
  <si>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</si>
  <si>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</si>
  <si>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</si>
  <si>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</si>
  <si>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</si>
  <si>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</si>
  <si>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</si>
  <si>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</si>
  <si>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</si>
  <si>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</si>
  <si>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</si>
  <si>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</si>
  <si>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</si>
  <si>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</si>
  <si>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</si>
  <si>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</si>
  <si>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</si>
  <si>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</si>
  <si>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</si>
  <si>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</si>
  <si>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</si>
  <si>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</si>
  <si>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</si>
  <si>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</si>
  <si>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</si>
  <si>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</si>
  <si>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</si>
  <si>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</si>
  <si>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</si>
  <si>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</si>
  <si>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</si>
  <si>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</si>
  <si>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</si>
  <si>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</si>
  <si>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</si>
  <si>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</si>
  <si>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</si>
  <si>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</si>
  <si>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</si>
  <si>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</si>
  <si>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</si>
  <si>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</si>
  <si>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</si>
  <si>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</si>
  <si>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</si>
  <si>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</si>
  <si>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</si>
  <si>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</si>
  <si>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</si>
  <si>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</si>
  <si>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</si>
  <si>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</si>
  <si>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</si>
  <si>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</si>
  <si>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</si>
  <si>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</si>
  <si>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</si>
  <si>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</si>
  <si>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</si>
  <si>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</si>
  <si>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</si>
  <si>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</si>
  <si>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</si>
  <si>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</si>
  <si>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</si>
  <si>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</si>
  <si>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</si>
  <si>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</si>
  <si>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</si>
  <si>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</si>
  <si>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</si>
  <si>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</si>
  <si>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</si>
  <si>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</si>
  <si>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</si>
  <si>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</si>
  <si>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</si>
  <si>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</si>
  <si>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</si>
  <si>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</si>
  <si>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</si>
  <si>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</si>
  <si>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</si>
  <si>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</si>
  <si>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</si>
  <si>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</si>
  <si>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</si>
  <si>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</si>
  <si>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</si>
  <si>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</si>
  <si>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</si>
  <si>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</si>
  <si>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</si>
  <si>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</si>
  <si>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</si>
  <si>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</si>
  <si>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</si>
  <si>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</si>
  <si>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</si>
  <si>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</si>
  <si>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</si>
  <si>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</si>
  <si>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</si>
  <si>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</si>
  <si>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</si>
  <si>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</si>
  <si>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</si>
  <si>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</si>
  <si>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</si>
  <si>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</si>
  <si>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</si>
  <si>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</si>
  <si>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</si>
  <si>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</si>
  <si>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</si>
  <si>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</si>
  <si>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</si>
  <si>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</si>
  <si>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</si>
  <si>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</si>
  <si>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</si>
  <si>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</si>
  <si>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</si>
  <si>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</si>
  <si>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</si>
  <si>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</si>
  <si>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</si>
  <si>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</si>
  <si>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</si>
  <si>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</si>
  <si>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</si>
  <si>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</si>
  <si>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</si>
  <si>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</si>
  <si>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</si>
  <si>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</si>
  <si>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</si>
  <si>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</si>
  <si>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</si>
  <si>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</si>
  <si>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</si>
  <si>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</si>
  <si>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</si>
  <si>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</si>
  <si>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</si>
  <si>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</si>
  <si>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</si>
  <si>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</si>
  <si>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</si>
  <si>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</si>
  <si>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</si>
  <si>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</si>
  <si>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</si>
  <si>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</si>
  <si>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</si>
  <si>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</si>
  <si>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</si>
  <si>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</si>
  <si>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</si>
  <si>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</si>
  <si>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</si>
  <si>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</si>
  <si>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</si>
  <si>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</si>
  <si>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</si>
  <si>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</si>
  <si>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</si>
  <si>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</si>
  <si>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</si>
  <si>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</si>
  <si>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</si>
  <si>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</si>
  <si>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</si>
  <si>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</si>
  <si>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</si>
  <si>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</si>
  <si>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</si>
  <si>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</si>
  <si>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</si>
  <si>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</si>
  <si>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</si>
  <si>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</si>
  <si>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</si>
  <si>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</si>
  <si>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</si>
  <si>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</si>
  <si>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</si>
  <si>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</si>
  <si>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</si>
  <si>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</si>
  <si>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</si>
  <si>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</si>
  <si>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</si>
  <si>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</si>
  <si>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</si>
  <si>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</si>
  <si>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</si>
  <si>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</si>
  <si>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</si>
  <si>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</si>
  <si>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</si>
  <si>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</si>
  <si>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</si>
  <si>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</si>
  <si>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</si>
  <si>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</si>
  <si>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</si>
  <si>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</si>
  <si>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</si>
  <si>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</si>
  <si>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</si>
  <si>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</si>
  <si>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</si>
  <si>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</si>
  <si>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</si>
  <si>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</si>
  <si>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</si>
  <si>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</si>
  <si>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</si>
  <si>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</si>
  <si>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</si>
  <si>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</si>
  <si>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</si>
  <si>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</si>
  <si>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</si>
  <si>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</si>
  <si>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</si>
  <si>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</si>
  <si>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</si>
  <si>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</si>
  <si>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</si>
  <si>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</si>
  <si>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</si>
  <si>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</si>
  <si>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</si>
  <si>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</si>
  <si>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</si>
  <si>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</si>
  <si>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</si>
  <si>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</si>
  <si>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</si>
  <si>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</si>
  <si>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</si>
  <si>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</si>
  <si>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</si>
  <si>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</si>
  <si>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</si>
  <si>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</si>
  <si>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</si>
  <si>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</si>
  <si>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</si>
  <si>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</si>
  <si>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</si>
  <si>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</si>
  <si>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</si>
  <si>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</si>
  <si>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</si>
  <si>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</si>
  <si>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</si>
  <si>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是</t>
  </si>
  <si>
    <t>地上</t>
  </si>
  <si>
    <t>地下</t>
  </si>
  <si>
    <t>12号楼</t>
  </si>
  <si>
    <t>12号楼</t>
    <phoneticPr fontId="7" type="noConversion"/>
  </si>
  <si>
    <t>13号楼</t>
  </si>
  <si>
    <t>13号楼</t>
    <phoneticPr fontId="7" type="noConversion"/>
  </si>
  <si>
    <t>成新度</t>
  </si>
  <si>
    <t>直线</t>
    <phoneticPr fontId="3" type="noConversion"/>
  </si>
  <si>
    <t>观察</t>
    <phoneticPr fontId="3" type="noConversion"/>
  </si>
  <si>
    <t>押一</t>
  </si>
  <si>
    <t>钢混</t>
  </si>
  <si>
    <t>非生产用房</t>
  </si>
  <si>
    <t>否</t>
  </si>
  <si>
    <t>宗地容积率</t>
  </si>
  <si>
    <t>与级别开发程度一致</t>
  </si>
  <si>
    <t>一般</t>
  </si>
  <si>
    <t>较好</t>
  </si>
  <si>
    <t>好</t>
  </si>
  <si>
    <t>未包含在土地购买价格中</t>
  </si>
  <si>
    <t>全部缴纳</t>
  </si>
  <si>
    <t>已包含在土地取得成本中</t>
  </si>
  <si>
    <t>项目模式</t>
  </si>
  <si>
    <t>售价</t>
  </si>
  <si>
    <t>比较法-办公</t>
  </si>
  <si>
    <t>收益法(13号楼)</t>
  </si>
  <si>
    <t>收益法(13号楼)</t>
    <phoneticPr fontId="16" type="noConversion"/>
  </si>
  <si>
    <t>收益法（12号楼）</t>
  </si>
  <si>
    <t>收益法（12号楼）</t>
    <phoneticPr fontId="16" type="noConversion"/>
  </si>
  <si>
    <t>12号楼</t>
    <phoneticPr fontId="24" type="noConversion"/>
  </si>
  <si>
    <r>
      <t>13</t>
    </r>
    <r>
      <rPr>
        <sz val="10"/>
        <color indexed="8"/>
        <rFont val="宋体"/>
        <family val="3"/>
        <charset val="134"/>
      </rPr>
      <t>号楼</t>
    </r>
    <phoneticPr fontId="24" type="noConversion"/>
  </si>
  <si>
    <t>总价</t>
  </si>
  <si>
    <t>收益比率</t>
  </si>
  <si>
    <t>全地上</t>
  </si>
  <si>
    <t>全地上</t>
    <phoneticPr fontId="24" type="noConversion"/>
  </si>
  <si>
    <t>含地下</t>
  </si>
  <si>
    <t>含地下</t>
    <phoneticPr fontId="24" type="noConversion"/>
  </si>
  <si>
    <t>租赁合同</t>
    <phoneticPr fontId="134" type="noConversion"/>
  </si>
  <si>
    <t>装修费用（每年）</t>
    <phoneticPr fontId="134" type="noConversion"/>
  </si>
  <si>
    <t>承租方</t>
    <phoneticPr fontId="134" type="noConversion"/>
  </si>
  <si>
    <t>楼号</t>
    <phoneticPr fontId="134" type="noConversion"/>
  </si>
  <si>
    <t>建筑面积</t>
    <phoneticPr fontId="134" type="noConversion"/>
  </si>
  <si>
    <t>租赁期</t>
    <phoneticPr fontId="134" type="noConversion"/>
  </si>
  <si>
    <t>租金</t>
    <phoneticPr fontId="134" type="noConversion"/>
  </si>
  <si>
    <t>当前年租金（含税）</t>
    <phoneticPr fontId="134" type="noConversion"/>
  </si>
  <si>
    <t>支付方式</t>
    <phoneticPr fontId="134" type="noConversion"/>
  </si>
  <si>
    <t>押金</t>
    <phoneticPr fontId="134" type="noConversion"/>
  </si>
  <si>
    <t>股东</t>
    <phoneticPr fontId="134" type="noConversion"/>
  </si>
  <si>
    <t>北京市长城伟业投资开发总公司</t>
    <phoneticPr fontId="134" type="noConversion"/>
  </si>
  <si>
    <t>13号楼</t>
    <phoneticPr fontId="134" type="noConversion"/>
  </si>
  <si>
    <t>13号楼</t>
    <phoneticPr fontId="134" type="noConversion"/>
  </si>
  <si>
    <t>2018年1月1日至2027年12月31日</t>
    <phoneticPr fontId="134" type="noConversion"/>
  </si>
  <si>
    <t>年付</t>
    <phoneticPr fontId="134" type="noConversion"/>
  </si>
  <si>
    <t>——</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</si>
  <si>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</si>
  <si>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</si>
  <si>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</si>
  <si>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10年摊销</t>
    <phoneticPr fontId="134" type="noConversion"/>
  </si>
  <si>
    <t>2018年6月15日至2028年6月14日</t>
    <phoneticPr fontId="134" type="noConversion"/>
  </si>
  <si>
    <t>3年摊销</t>
    <phoneticPr fontId="134" type="noConversion"/>
  </si>
  <si>
    <t>中航建设集团有限公司</t>
    <phoneticPr fontId="134" type="noConversion"/>
  </si>
  <si>
    <t>12号楼大堂、3-6层，含30个地下车位</t>
    <phoneticPr fontId="134" type="noConversion"/>
  </si>
  <si>
    <t>2017年6月1日至2027年5月31日</t>
    <phoneticPr fontId="134" type="noConversion"/>
  </si>
  <si>
    <t>季度付</t>
    <phoneticPr fontId="134" type="noConversion"/>
  </si>
  <si>
    <t>关联公司</t>
    <phoneticPr fontId="134" type="noConversion"/>
  </si>
  <si>
    <t>剩余租赁期</t>
    <phoneticPr fontId="134" type="noConversion"/>
  </si>
  <si>
    <t>年租金</t>
    <phoneticPr fontId="134" type="noConversion"/>
  </si>
  <si>
    <t>租金单价</t>
    <phoneticPr fontId="134" type="noConversion"/>
  </si>
  <si>
    <t>到期成新度</t>
    <phoneticPr fontId="134" type="noConversion"/>
  </si>
  <si>
    <t>12号</t>
    <phoneticPr fontId="134" type="noConversion"/>
  </si>
  <si>
    <t>13号</t>
    <phoneticPr fontId="134" type="noConversion"/>
  </si>
  <si>
    <t>正常</t>
  </si>
  <si>
    <t>怀柔碧桂园中心</t>
    <phoneticPr fontId="3" type="noConversion"/>
  </si>
  <si>
    <t>研发</t>
    <phoneticPr fontId="31" type="noConversion"/>
  </si>
  <si>
    <t>办公</t>
    <phoneticPr fontId="31" type="noConversion"/>
  </si>
  <si>
    <t>挂牌</t>
  </si>
  <si>
    <t>挂牌</t>
    <phoneticPr fontId="31" type="noConversion"/>
  </si>
  <si>
    <t>20-30</t>
    <phoneticPr fontId="31" type="noConversion"/>
  </si>
  <si>
    <t>40-50</t>
    <phoneticPr fontId="31" type="noConversion"/>
  </si>
  <si>
    <t>20-30</t>
    <phoneticPr fontId="31" type="noConversion"/>
  </si>
  <si>
    <t>30-40</t>
    <phoneticPr fontId="31" type="noConversion"/>
  </si>
  <si>
    <t>40-50</t>
    <phoneticPr fontId="31" type="noConversion"/>
  </si>
  <si>
    <t>翡翠华庭家园</t>
    <phoneticPr fontId="3" type="noConversion"/>
  </si>
  <si>
    <t>北京城建府前龙樾</t>
    <phoneticPr fontId="3" type="noConversion"/>
  </si>
  <si>
    <t>七通</t>
  </si>
  <si>
    <t>整层</t>
  </si>
  <si>
    <t>整层</t>
    <phoneticPr fontId="31" type="noConversion"/>
  </si>
  <si>
    <t>整栋</t>
  </si>
  <si>
    <t>整栋</t>
    <phoneticPr fontId="31" type="noConversion"/>
  </si>
  <si>
    <t>写字楼</t>
  </si>
  <si>
    <t>写字楼</t>
    <phoneticPr fontId="31" type="noConversion"/>
  </si>
  <si>
    <t>钢混</t>
    <phoneticPr fontId="31" type="noConversion"/>
  </si>
  <si>
    <t>精装</t>
  </si>
  <si>
    <t>精装</t>
    <phoneticPr fontId="31" type="noConversion"/>
  </si>
  <si>
    <t>专业</t>
  </si>
  <si>
    <t>专业</t>
    <phoneticPr fontId="31" type="noConversion"/>
  </si>
  <si>
    <t>标准</t>
  </si>
  <si>
    <t>标准</t>
    <phoneticPr fontId="31" type="noConversion"/>
  </si>
  <si>
    <t>普装</t>
    <phoneticPr fontId="31" type="noConversion"/>
  </si>
  <si>
    <t>简装</t>
    <phoneticPr fontId="31" type="noConversion"/>
  </si>
  <si>
    <t>毛坯</t>
  </si>
  <si>
    <t>毛坯</t>
    <phoneticPr fontId="31" type="noConversion"/>
  </si>
  <si>
    <r>
      <t>2024</t>
    </r>
    <r>
      <rPr>
        <sz val="10"/>
        <color indexed="8"/>
        <rFont val="宋体"/>
        <family val="3"/>
        <charset val="134"/>
      </rPr>
      <t>年估值</t>
    </r>
    <phoneticPr fontId="24" type="noConversion"/>
  </si>
  <si>
    <t>12号楼</t>
    <phoneticPr fontId="134" type="noConversion"/>
  </si>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</sst>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76" fillId="0" borderId="1" xfId="0" applyFont="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31" fontId="107" fillId="0" borderId="0" xfId="0" applyNumberFormat="1" applyFont="1" applyAlignment="1">
      <alignment horizontal="left" vertical="center"/>
    </xf>
    <xf numFmtId="181" fontId="99" fillId="16" borderId="1"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7" fillId="16" borderId="1" xfId="0" applyFont="1" applyFill="1" applyBorder="1" applyAlignment="1">
      <alignment horizontal="center" vertical="center"/>
    </xf>
    <xf numFmtId="0" fontId="47" fillId="16"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38100</xdr:rowOff>
    </xdr:from>
    <xdr:to>
      <xdr:col>20</xdr:col>
      <xdr:colOff>550702</xdr:colOff>
      <xdr:row>18</xdr:row>
      <xdr:rowOff>28212</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285750" y="209550"/>
          <a:ext cx="13980952" cy="2904762"/>
        </a:xfrm>
        <a:prstGeom prst="rect">
          <a:avLst/>
        </a:prstGeom>
      </xdr:spPr>
    </xdr:pic>
    <xdr:clientData/>
  </xdr:twoCellAnchor>
  <xdr:twoCellAnchor editAs="oneCell">
    <xdr:from>
      <xdr:col>0</xdr:col>
      <xdr:colOff>333375</xdr:colOff>
      <xdr:row>25</xdr:row>
      <xdr:rowOff>28575</xdr:rowOff>
    </xdr:from>
    <xdr:to>
      <xdr:col>20</xdr:col>
      <xdr:colOff>542925</xdr:colOff>
      <xdr:row>50</xdr:row>
      <xdr:rowOff>16028</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333375" y="4314825"/>
          <a:ext cx="13925550" cy="4273703"/>
        </a:xfrm>
        <a:prstGeom prst="rect">
          <a:avLst/>
        </a:prstGeom>
      </xdr:spPr>
    </xdr:pic>
    <xdr:clientData/>
  </xdr:twoCellAnchor>
  <xdr:twoCellAnchor editAs="oneCell">
    <xdr:from>
      <xdr:col>0</xdr:col>
      <xdr:colOff>257175</xdr:colOff>
      <xdr:row>18</xdr:row>
      <xdr:rowOff>28575</xdr:rowOff>
    </xdr:from>
    <xdr:to>
      <xdr:col>20</xdr:col>
      <xdr:colOff>619125</xdr:colOff>
      <xdr:row>24</xdr:row>
      <xdr:rowOff>170328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257175" y="3114675"/>
          <a:ext cx="14077950" cy="1170453"/>
        </a:xfrm>
        <a:prstGeom prst="rect">
          <a:avLst/>
        </a:prstGeom>
      </xdr:spPr>
    </xdr:pic>
    <xdr:clientData/>
  </xdr:twoCellAnchor>
  <xdr:twoCellAnchor editAs="oneCell">
    <xdr:from>
      <xdr:col>0</xdr:col>
      <xdr:colOff>476250</xdr:colOff>
      <xdr:row>50</xdr:row>
      <xdr:rowOff>76200</xdr:rowOff>
    </xdr:from>
    <xdr:to>
      <xdr:col>20</xdr:col>
      <xdr:colOff>504825</xdr:colOff>
      <xdr:row>66</xdr:row>
      <xdr:rowOff>65130</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476250" y="8648700"/>
          <a:ext cx="13744575" cy="2732130"/>
        </a:xfrm>
        <a:prstGeom prst="rect">
          <a:avLst/>
        </a:prstGeom>
      </xdr:spPr>
    </xdr:pic>
    <xdr:clientData/>
  </xdr:twoCellAnchor>
  <xdr:twoCellAnchor editAs="oneCell">
    <xdr:from>
      <xdr:col>0</xdr:col>
      <xdr:colOff>438150</xdr:colOff>
      <xdr:row>66</xdr:row>
      <xdr:rowOff>161926</xdr:rowOff>
    </xdr:from>
    <xdr:to>
      <xdr:col>20</xdr:col>
      <xdr:colOff>504825</xdr:colOff>
      <xdr:row>73</xdr:row>
      <xdr:rowOff>71632</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5"/>
        <a:stretch>
          <a:fillRect/>
        </a:stretch>
      </xdr:blipFill>
      <xdr:spPr>
        <a:xfrm>
          <a:off x="438150" y="11477626"/>
          <a:ext cx="13782675" cy="1109856"/>
        </a:xfrm>
        <a:prstGeom prst="rect">
          <a:avLst/>
        </a:prstGeom>
      </xdr:spPr>
    </xdr:pic>
    <xdr:clientData/>
  </xdr:twoCellAnchor>
  <xdr:twoCellAnchor editAs="oneCell">
    <xdr:from>
      <xdr:col>0</xdr:col>
      <xdr:colOff>485776</xdr:colOff>
      <xdr:row>73</xdr:row>
      <xdr:rowOff>114300</xdr:rowOff>
    </xdr:from>
    <xdr:to>
      <xdr:col>20</xdr:col>
      <xdr:colOff>523876</xdr:colOff>
      <xdr:row>85</xdr:row>
      <xdr:rowOff>121985</xdr:rowOff>
    </xdr:to>
    <xdr:pic>
      <xdr:nvPicPr>
        <xdr:cNvPr id="8" name="图片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6"/>
        <a:stretch>
          <a:fillRect/>
        </a:stretch>
      </xdr:blipFill>
      <xdr:spPr>
        <a:xfrm>
          <a:off x="485776" y="12630150"/>
          <a:ext cx="13754100" cy="2065085"/>
        </a:xfrm>
        <a:prstGeom prst="rect">
          <a:avLst/>
        </a:prstGeom>
      </xdr:spPr>
    </xdr:pic>
    <xdr:clientData/>
  </xdr:twoCellAnchor>
  <xdr:twoCellAnchor editAs="oneCell">
    <xdr:from>
      <xdr:col>0</xdr:col>
      <xdr:colOff>457200</xdr:colOff>
      <xdr:row>86</xdr:row>
      <xdr:rowOff>104775</xdr:rowOff>
    </xdr:from>
    <xdr:to>
      <xdr:col>16</xdr:col>
      <xdr:colOff>103448</xdr:colOff>
      <xdr:row>133</xdr:row>
      <xdr:rowOff>65673</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457200" y="14849475"/>
          <a:ext cx="10619048" cy="8019048"/>
        </a:xfrm>
        <a:prstGeom prst="rect">
          <a:avLst/>
        </a:prstGeom>
      </xdr:spPr>
    </xdr:pic>
    <xdr:clientData/>
  </xdr:twoCellAnchor>
  <xdr:twoCellAnchor editAs="oneCell">
    <xdr:from>
      <xdr:col>0</xdr:col>
      <xdr:colOff>542925</xdr:colOff>
      <xdr:row>134</xdr:row>
      <xdr:rowOff>9525</xdr:rowOff>
    </xdr:from>
    <xdr:to>
      <xdr:col>16</xdr:col>
      <xdr:colOff>227268</xdr:colOff>
      <xdr:row>181</xdr:row>
      <xdr:rowOff>84708</xdr:rowOff>
    </xdr:to>
    <xdr:pic>
      <xdr:nvPicPr>
        <xdr:cNvPr id="10" name="图片 9">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542925" y="22983825"/>
          <a:ext cx="10657143" cy="8133333"/>
        </a:xfrm>
        <a:prstGeom prst="rect">
          <a:avLst/>
        </a:prstGeom>
      </xdr:spPr>
    </xdr:pic>
    <xdr:clientData/>
  </xdr:twoCellAnchor>
  <xdr:twoCellAnchor editAs="oneCell">
    <xdr:from>
      <xdr:col>16</xdr:col>
      <xdr:colOff>266700</xdr:colOff>
      <xdr:row>86</xdr:row>
      <xdr:rowOff>47625</xdr:rowOff>
    </xdr:from>
    <xdr:to>
      <xdr:col>24</xdr:col>
      <xdr:colOff>418395</xdr:colOff>
      <xdr:row>130</xdr:row>
      <xdr:rowOff>170492</xdr:rowOff>
    </xdr:to>
    <xdr:pic>
      <xdr:nvPicPr>
        <xdr:cNvPr id="11" name="图片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9"/>
        <a:stretch>
          <a:fillRect/>
        </a:stretch>
      </xdr:blipFill>
      <xdr:spPr>
        <a:xfrm>
          <a:off x="11239500" y="14792325"/>
          <a:ext cx="5638095" cy="7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17/2024-1-0217/F02/&#26368;&#32456;/2024-1-0217-P03&#24576;&#26580;&#30740;&#21457;-&#31199;&#32422;&#26399;&#20869;&#22806;6.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2号楼"/>
      <sheetName val="成本法"/>
      <sheetName val="成本法 (元)"/>
      <sheetName val="假设开发法"/>
      <sheetName val="收益法12号楼"/>
      <sheetName val="收益法 (元)"/>
      <sheetName val="收益法-酒店模型"/>
      <sheetName val="收益法（汇总）"/>
      <sheetName val="比较法-住宅"/>
      <sheetName val="比较法-商业"/>
      <sheetName val="比较法-办公12号楼"/>
      <sheetName val="比较法-工业"/>
      <sheetName val="比较法-车位"/>
      <sheetName val="比较法-仓储"/>
      <sheetName val="土地比较法-住宅、综合"/>
      <sheetName val="土地比较法-工业"/>
      <sheetName val="结果表13号楼"/>
      <sheetName val="收益法13号楼"/>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办公13号楼"/>
      <sheetName val="土地案例"/>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11487.92</v>
          </cell>
        </row>
        <row r="20">
          <cell r="E20">
            <v>25292.940000000002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估价对象为北京市房地产，为所有。根据《国有土地使用证》[]，估价对象（分摊）出让国有建设用地使用权面积为17362.38平方米，建筑面积为36780.86平方米。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估价对象为北京市房地产,属开发建设的，该项目尚在开发建设中。根据《国有土地使用证》[]，估价对象（分摊）出让国有建设用地使用权面积为17362.38平方米，规划建筑面积为36780.86平方米。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2025年4月28日（评估专业人员实地查勘之日）</v>
      </c>
    </row>
    <row r="13" spans="1:2">
      <c r="A13" s="1117" t="s">
        <v>529</v>
      </c>
      <c r="B13" s="1118"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27640</v>
      </c>
    </row>
    <row r="21" spans="1:2">
      <c r="A21" s="1117" t="s">
        <v>537</v>
      </c>
      <c r="B21" s="1118">
        <f ca="1">'预评函-2'!D7</f>
        <v>24060</v>
      </c>
    </row>
    <row r="22" spans="1:2">
      <c r="A22" s="1117" t="s">
        <v>538</v>
      </c>
      <c r="B22" s="1118" t="str">
        <f ca="1">'预评函-2'!D6</f>
        <v>贰亿柒仟陆佰肆拾万元整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27640</v>
      </c>
    </row>
    <row r="31" spans="1:2">
      <c r="A31" s="1117" t="s">
        <v>576</v>
      </c>
      <c r="B31" s="1118">
        <f ca="1">'预评函-2'!D15</f>
        <v>24060</v>
      </c>
    </row>
    <row r="32" spans="1:2">
      <c r="A32" s="1117" t="s">
        <v>543</v>
      </c>
      <c r="B32" s="1118" t="str">
        <f ca="1">'预评函-2'!D14</f>
        <v>贰亿柒仟陆佰肆拾万元整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36780.86</v>
      </c>
    </row>
    <row r="44" spans="1:2" ht="31.2">
      <c r="A44" s="1117" t="s">
        <v>575</v>
      </c>
      <c r="B44" s="1118" t="str">
        <f>'预评函-3'!C2</f>
        <v>(分摊)土地面积</v>
      </c>
    </row>
    <row r="45" spans="1:2">
      <c r="A45" s="1117" t="s">
        <v>547</v>
      </c>
      <c r="B45" s="1118">
        <f>'预评函-3'!C4</f>
        <v>17362.38</v>
      </c>
    </row>
    <row r="46" spans="1:2">
      <c r="A46" s="1117" t="s">
        <v>573</v>
      </c>
      <c r="B46" s="1118" t="str">
        <f>'预评函-3'!D2</f>
        <v>出让国有建设用地使用权价值</v>
      </c>
    </row>
    <row r="47" spans="1:2">
      <c r="A47" s="1117" t="s">
        <v>548</v>
      </c>
      <c r="B47" s="1118">
        <f ca="1">'预评函-3'!D4</f>
        <v>14539</v>
      </c>
    </row>
    <row r="48" spans="1:2">
      <c r="A48" s="1117" t="s">
        <v>549</v>
      </c>
      <c r="B48" s="1118">
        <f ca="1">'预评函-3'!E4</f>
        <v>12656</v>
      </c>
    </row>
    <row r="49" spans="1:2">
      <c r="A49" s="1117" t="s">
        <v>550</v>
      </c>
      <c r="B49" s="1118" t="str">
        <f ca="1">'预评函-3'!D5</f>
        <v>壹亿肆仟伍佰叁拾玖万元整</v>
      </c>
    </row>
    <row r="50" spans="1:2">
      <c r="A50" s="1117" t="s">
        <v>574</v>
      </c>
      <c r="B50" s="1118" t="str">
        <f>'预评函-3'!F2</f>
        <v>在建建筑物价值</v>
      </c>
    </row>
    <row r="51" spans="1:2">
      <c r="A51" s="1117" t="s">
        <v>551</v>
      </c>
      <c r="B51" s="1118">
        <f ca="1">'预评函-3'!F4</f>
        <v>13101</v>
      </c>
    </row>
    <row r="52" spans="1:2">
      <c r="A52" s="1117" t="s">
        <v>552</v>
      </c>
      <c r="B52" s="1118">
        <f ca="1">'预评函-3'!G4</f>
        <v>11404</v>
      </c>
    </row>
    <row r="53" spans="1:2">
      <c r="A53" s="1117" t="s">
        <v>580</v>
      </c>
      <c r="B53" s="1118" t="str">
        <f ca="1">'预评函-3'!F5</f>
        <v>壹亿叁仟壹佰零壹万元整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3" sqref="F23"/>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975</v>
      </c>
      <c r="C1" s="1436" t="s">
        <v>314</v>
      </c>
      <c r="D1" s="1437" t="s">
        <v>3348</v>
      </c>
      <c r="E1" s="1436" t="s">
        <v>976</v>
      </c>
      <c r="F1" s="1436" t="s">
        <v>977</v>
      </c>
      <c r="G1" s="1436" t="s">
        <v>978</v>
      </c>
      <c r="H1" s="1436" t="s">
        <v>979</v>
      </c>
      <c r="I1" s="1436" t="s">
        <v>980</v>
      </c>
      <c r="J1" s="1436" t="s">
        <v>981</v>
      </c>
      <c r="K1" s="1436" t="s">
        <v>982</v>
      </c>
      <c r="L1" s="1436" t="s">
        <v>983</v>
      </c>
      <c r="M1" s="1436" t="s">
        <v>984</v>
      </c>
      <c r="N1" s="1436" t="s">
        <v>985</v>
      </c>
      <c r="O1" s="1436" t="s">
        <v>986</v>
      </c>
      <c r="P1" s="1437" t="s">
        <v>309</v>
      </c>
      <c r="Q1" s="1437" t="s">
        <v>447</v>
      </c>
      <c r="R1" s="1436" t="s">
        <v>441</v>
      </c>
      <c r="S1" s="1436" t="s">
        <v>987</v>
      </c>
      <c r="T1" s="1437" t="s">
        <v>988</v>
      </c>
      <c r="U1" s="1436" t="s">
        <v>989</v>
      </c>
      <c r="V1" s="1436" t="s">
        <v>990</v>
      </c>
      <c r="W1" s="1436" t="s">
        <v>311</v>
      </c>
    </row>
    <row r="2" spans="1:23">
      <c r="A2" s="1439" t="s">
        <v>19</v>
      </c>
      <c r="B2" s="1439" t="s">
        <v>991</v>
      </c>
      <c r="C2" s="1440" t="s">
        <v>315</v>
      </c>
      <c r="D2" s="1441" t="s">
        <v>992</v>
      </c>
      <c r="E2" s="1441" t="s">
        <v>993</v>
      </c>
      <c r="F2" s="1441" t="s">
        <v>994</v>
      </c>
      <c r="G2" s="1441">
        <v>20</v>
      </c>
      <c r="H2" s="1441" t="s">
        <v>994</v>
      </c>
      <c r="I2" s="1441" t="s">
        <v>3334</v>
      </c>
      <c r="J2" s="1441" t="s">
        <v>995</v>
      </c>
      <c r="K2" s="1441" t="s">
        <v>996</v>
      </c>
      <c r="L2" s="1441" t="s">
        <v>996</v>
      </c>
      <c r="M2" s="1441" t="s">
        <v>996</v>
      </c>
      <c r="N2" s="1441" t="s">
        <v>996</v>
      </c>
      <c r="O2" s="1441" t="s">
        <v>996</v>
      </c>
      <c r="P2" s="1441" t="s">
        <v>996</v>
      </c>
      <c r="Q2" s="1441" t="s">
        <v>996</v>
      </c>
      <c r="R2" s="1441" t="s">
        <v>443</v>
      </c>
      <c r="S2" s="1441" t="s">
        <v>996</v>
      </c>
      <c r="T2" s="1441" t="s">
        <v>997</v>
      </c>
      <c r="U2" s="1441" t="s">
        <v>996</v>
      </c>
      <c r="V2" s="1441" t="s">
        <v>998</v>
      </c>
      <c r="W2" s="1441" t="s">
        <v>996</v>
      </c>
    </row>
    <row r="3" spans="1:23">
      <c r="A3" s="1439" t="s">
        <v>999</v>
      </c>
      <c r="B3" s="1442" t="s">
        <v>448</v>
      </c>
      <c r="C3" s="1440" t="s">
        <v>316</v>
      </c>
      <c r="D3" s="1441" t="s">
        <v>1000</v>
      </c>
      <c r="E3" s="1441" t="s">
        <v>13</v>
      </c>
      <c r="F3" s="1441" t="s">
        <v>1001</v>
      </c>
      <c r="G3" s="1441">
        <v>40</v>
      </c>
      <c r="H3" s="1441" t="s">
        <v>1001</v>
      </c>
      <c r="I3" s="1441" t="s">
        <v>3335</v>
      </c>
      <c r="J3" s="1441" t="s">
        <v>1002</v>
      </c>
      <c r="K3" s="1441" t="s">
        <v>1003</v>
      </c>
      <c r="L3" s="1441" t="s">
        <v>1003</v>
      </c>
      <c r="M3" s="1441" t="s">
        <v>1003</v>
      </c>
      <c r="N3" s="1441" t="s">
        <v>1003</v>
      </c>
      <c r="O3" s="1441" t="s">
        <v>1003</v>
      </c>
      <c r="P3" s="1441" t="s">
        <v>1003</v>
      </c>
      <c r="Q3" s="1441" t="s">
        <v>1003</v>
      </c>
      <c r="R3" s="1441" t="s">
        <v>442</v>
      </c>
      <c r="S3" s="1441" t="s">
        <v>1003</v>
      </c>
      <c r="T3" s="1441" t="s">
        <v>1004</v>
      </c>
      <c r="U3" s="1441" t="s">
        <v>1003</v>
      </c>
      <c r="V3" s="1441" t="s">
        <v>1005</v>
      </c>
      <c r="W3" s="1441" t="s">
        <v>1003</v>
      </c>
    </row>
    <row r="4" spans="1:23">
      <c r="A4" s="1439" t="s">
        <v>1006</v>
      </c>
      <c r="B4" s="1439" t="s">
        <v>1007</v>
      </c>
      <c r="C4" s="1440" t="s">
        <v>317</v>
      </c>
      <c r="D4" s="1441" t="s">
        <v>389</v>
      </c>
      <c r="E4" s="1441" t="s">
        <v>1008</v>
      </c>
      <c r="F4" s="1441" t="s">
        <v>1009</v>
      </c>
      <c r="G4" s="1441">
        <v>50</v>
      </c>
      <c r="H4" s="1441" t="s">
        <v>1009</v>
      </c>
      <c r="I4" s="1441" t="s">
        <v>3336</v>
      </c>
      <c r="K4" s="1441" t="s">
        <v>1010</v>
      </c>
      <c r="L4" s="1441" t="s">
        <v>1010</v>
      </c>
      <c r="M4" s="1441" t="s">
        <v>1010</v>
      </c>
      <c r="N4" s="1441" t="s">
        <v>1010</v>
      </c>
      <c r="O4" s="1441" t="s">
        <v>1010</v>
      </c>
      <c r="P4" s="1441" t="s">
        <v>1010</v>
      </c>
      <c r="Q4" s="1441" t="s">
        <v>1010</v>
      </c>
      <c r="R4" s="1441" t="s">
        <v>444</v>
      </c>
      <c r="S4" s="1441" t="s">
        <v>1010</v>
      </c>
      <c r="T4" s="1441" t="s">
        <v>1011</v>
      </c>
      <c r="U4" s="1441" t="s">
        <v>1010</v>
      </c>
      <c r="W4" s="1441" t="s">
        <v>1010</v>
      </c>
    </row>
    <row r="5" spans="1:23">
      <c r="A5" s="1439" t="s">
        <v>1012</v>
      </c>
      <c r="B5" s="1439" t="s">
        <v>1013</v>
      </c>
      <c r="C5" s="1440" t="s">
        <v>318</v>
      </c>
      <c r="F5" s="1441" t="s">
        <v>1014</v>
      </c>
      <c r="G5" s="1441">
        <v>70</v>
      </c>
      <c r="H5" s="1441" t="s">
        <v>1015</v>
      </c>
      <c r="I5" s="1441" t="s">
        <v>3337</v>
      </c>
      <c r="K5" s="1441" t="s">
        <v>1016</v>
      </c>
      <c r="L5" s="1441" t="s">
        <v>1016</v>
      </c>
      <c r="M5" s="1441" t="s">
        <v>1016</v>
      </c>
      <c r="N5" s="1441" t="s">
        <v>1016</v>
      </c>
      <c r="O5" s="1441" t="s">
        <v>1016</v>
      </c>
      <c r="P5" s="1441" t="s">
        <v>1016</v>
      </c>
      <c r="Q5" s="1441" t="s">
        <v>1016</v>
      </c>
      <c r="R5" s="1441" t="s">
        <v>445</v>
      </c>
      <c r="S5" s="1441" t="s">
        <v>1016</v>
      </c>
      <c r="T5" s="1441" t="s">
        <v>1017</v>
      </c>
      <c r="U5" s="1441" t="s">
        <v>1016</v>
      </c>
      <c r="W5" s="1441" t="s">
        <v>1016</v>
      </c>
    </row>
    <row r="6" spans="1:23">
      <c r="A6" s="1439" t="s">
        <v>1018</v>
      </c>
      <c r="B6" s="1442" t="s">
        <v>449</v>
      </c>
      <c r="C6" s="1444" t="s">
        <v>24</v>
      </c>
      <c r="F6" s="1441" t="s">
        <v>1015</v>
      </c>
      <c r="H6" s="1441" t="s">
        <v>1019</v>
      </c>
      <c r="I6" s="1441" t="s">
        <v>3338</v>
      </c>
      <c r="K6" s="1441" t="s">
        <v>1020</v>
      </c>
      <c r="L6" s="1441" t="s">
        <v>1020</v>
      </c>
      <c r="M6" s="1441" t="s">
        <v>1020</v>
      </c>
      <c r="N6" s="1441" t="s">
        <v>1020</v>
      </c>
      <c r="O6" s="1441" t="s">
        <v>1020</v>
      </c>
      <c r="P6" s="1441" t="s">
        <v>1020</v>
      </c>
      <c r="Q6" s="1441" t="s">
        <v>1020</v>
      </c>
      <c r="R6" s="1441" t="s">
        <v>446</v>
      </c>
      <c r="S6" s="1441" t="s">
        <v>1020</v>
      </c>
      <c r="T6" s="1441"/>
      <c r="U6" s="1441" t="s">
        <v>1020</v>
      </c>
      <c r="W6" s="1441" t="s">
        <v>1020</v>
      </c>
    </row>
    <row r="7" spans="1:23">
      <c r="A7" s="1439" t="s">
        <v>1021</v>
      </c>
      <c r="B7" s="1442" t="s">
        <v>450</v>
      </c>
      <c r="C7" s="1440" t="s">
        <v>25</v>
      </c>
      <c r="F7" s="1441" t="s">
        <v>1022</v>
      </c>
      <c r="H7" s="1441" t="s">
        <v>1023</v>
      </c>
      <c r="I7" s="1441" t="s">
        <v>3339</v>
      </c>
    </row>
    <row r="8" spans="1:23">
      <c r="A8" s="1439" t="s">
        <v>1024</v>
      </c>
      <c r="B8" s="1439" t="s">
        <v>1025</v>
      </c>
      <c r="C8" s="1440" t="s">
        <v>319</v>
      </c>
      <c r="F8" s="1441" t="s">
        <v>1026</v>
      </c>
      <c r="H8" s="1441" t="s">
        <v>2574</v>
      </c>
      <c r="I8" s="1441" t="s">
        <v>3340</v>
      </c>
    </row>
    <row r="9" spans="1:23">
      <c r="A9" s="1439" t="s">
        <v>1027</v>
      </c>
      <c r="B9" s="1439" t="s">
        <v>1028</v>
      </c>
      <c r="C9" s="1440" t="s">
        <v>320</v>
      </c>
      <c r="F9" s="1441" t="s">
        <v>1029</v>
      </c>
      <c r="H9" s="1441"/>
      <c r="I9" s="1443" t="s">
        <v>3341</v>
      </c>
    </row>
    <row r="10" spans="1:23">
      <c r="A10" s="1439" t="s">
        <v>1030</v>
      </c>
      <c r="B10" s="1439" t="s">
        <v>1031</v>
      </c>
      <c r="C10" s="1440" t="s">
        <v>321</v>
      </c>
      <c r="F10" s="1441" t="s">
        <v>2575</v>
      </c>
      <c r="I10" s="1443" t="s">
        <v>3342</v>
      </c>
    </row>
    <row r="11" spans="1:23">
      <c r="A11" s="1439" t="s">
        <v>1032</v>
      </c>
      <c r="B11" s="1439" t="s">
        <v>1033</v>
      </c>
      <c r="C11" s="1440" t="s">
        <v>322</v>
      </c>
      <c r="F11" s="1441" t="s">
        <v>13</v>
      </c>
      <c r="I11" s="1443" t="s">
        <v>3343</v>
      </c>
    </row>
    <row r="12" spans="1:23">
      <c r="A12" s="1439" t="s">
        <v>1034</v>
      </c>
      <c r="B12" s="1439" t="s">
        <v>1035</v>
      </c>
      <c r="C12" s="1440" t="s">
        <v>323</v>
      </c>
      <c r="I12" s="1443" t="s">
        <v>3344</v>
      </c>
    </row>
    <row r="13" spans="1:23">
      <c r="A13" s="1439" t="s">
        <v>1036</v>
      </c>
      <c r="B13" s="1439" t="s">
        <v>1037</v>
      </c>
      <c r="C13" s="1440" t="s">
        <v>324</v>
      </c>
      <c r="I13" s="1443" t="s">
        <v>3345</v>
      </c>
    </row>
    <row r="14" spans="1:23">
      <c r="A14" s="1439" t="s">
        <v>1038</v>
      </c>
      <c r="B14" s="1439" t="s">
        <v>1039</v>
      </c>
      <c r="C14" s="1441" t="s">
        <v>13</v>
      </c>
      <c r="I14" s="1443" t="s">
        <v>3346</v>
      </c>
    </row>
    <row r="15" spans="1:23">
      <c r="A15" s="1439" t="s">
        <v>1040</v>
      </c>
      <c r="B15" s="1439" t="s">
        <v>1041</v>
      </c>
      <c r="C15" s="1440"/>
      <c r="I15" s="1443" t="s">
        <v>3347</v>
      </c>
    </row>
    <row r="16" spans="1:23">
      <c r="A16" s="1439" t="s">
        <v>1042</v>
      </c>
      <c r="B16" s="1439" t="s">
        <v>312</v>
      </c>
      <c r="C16" s="1440"/>
    </row>
    <row r="17" spans="1:3">
      <c r="A17" s="1439" t="s">
        <v>1043</v>
      </c>
      <c r="B17" s="1439" t="s">
        <v>2290</v>
      </c>
      <c r="C17" s="1440"/>
    </row>
    <row r="18" spans="1:3">
      <c r="A18" s="1439" t="s">
        <v>1044</v>
      </c>
      <c r="B18" s="1439" t="s">
        <v>2430</v>
      </c>
      <c r="C18" s="1440"/>
    </row>
    <row r="19" spans="1:3">
      <c r="A19" s="1439" t="s">
        <v>1045</v>
      </c>
      <c r="B19" s="1439" t="s">
        <v>3441</v>
      </c>
      <c r="C19" s="1440"/>
    </row>
    <row r="20" spans="1:3">
      <c r="A20" s="1439" t="s">
        <v>1046</v>
      </c>
      <c r="B20" s="1439" t="s">
        <v>3443</v>
      </c>
      <c r="C20" s="1440"/>
    </row>
    <row r="21" spans="1:3">
      <c r="A21" s="1439" t="s">
        <v>1047</v>
      </c>
      <c r="B21" s="1439" t="s">
        <v>313</v>
      </c>
      <c r="C21" s="1440"/>
    </row>
    <row r="22" spans="1:3">
      <c r="A22" s="1439" t="s">
        <v>1048</v>
      </c>
      <c r="B22" s="1439" t="s">
        <v>313</v>
      </c>
      <c r="C22" s="1440"/>
    </row>
    <row r="23" spans="1:3">
      <c r="A23" s="1439" t="s">
        <v>1049</v>
      </c>
      <c r="B23" s="1439" t="s">
        <v>313</v>
      </c>
      <c r="C23" s="1440"/>
    </row>
    <row r="24" spans="1:3">
      <c r="A24" s="1439" t="s">
        <v>1050</v>
      </c>
      <c r="B24" s="1439" t="s">
        <v>313</v>
      </c>
      <c r="C24" s="1440"/>
    </row>
    <row r="25" spans="1:3">
      <c r="A25" s="1439" t="s">
        <v>1051</v>
      </c>
      <c r="B25" s="1439" t="s">
        <v>313</v>
      </c>
      <c r="C25" s="1440"/>
    </row>
    <row r="26" spans="1:3">
      <c r="A26" s="1439" t="s">
        <v>1052</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5" t="s">
        <v>385</v>
      </c>
      <c r="C54" s="1443" t="s">
        <v>583</v>
      </c>
    </row>
    <row r="55" spans="1:4">
      <c r="A55" s="3215"/>
      <c r="B55" s="1445" t="s">
        <v>386</v>
      </c>
      <c r="C55" s="1443" t="s">
        <v>584</v>
      </c>
    </row>
    <row r="56" spans="1:4">
      <c r="A56" s="3215"/>
      <c r="B56" s="1445" t="s">
        <v>387</v>
      </c>
      <c r="C56" s="1443" t="s">
        <v>588</v>
      </c>
    </row>
    <row r="57" spans="1:4">
      <c r="A57" s="321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9" zoomScaleNormal="10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16" t="s">
        <v>2577</v>
      </c>
      <c r="J2" s="3216"/>
      <c r="K2" s="3216"/>
      <c r="L2" s="3216"/>
      <c r="M2" s="3216"/>
      <c r="N2" s="3216"/>
      <c r="O2" s="3216"/>
      <c r="P2" s="3216"/>
      <c r="Q2" s="3216"/>
      <c r="R2" s="3216"/>
    </row>
    <row r="3" spans="1:18">
      <c r="A3" s="2760" t="s">
        <v>2498</v>
      </c>
      <c r="B3" s="2761">
        <f>项目基本情况!D3</f>
        <v>45775</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1.64</v>
      </c>
      <c r="D5" s="2765">
        <f>IF(ISERROR(ROUND(POWER(1+E5,A5-C5)*(POWER(1+E5,C5)-1)/(POWER(1+E5,A5)-1),3)),0,ROUND(POWER(1+E5,A5-C5)*(POWER(1+E5,C5)-1)/(POWER(1+E5,A5)-1),4))</f>
        <v>7.8700000000000006E-2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11.65</v>
      </c>
      <c r="D6" s="2765">
        <f>IF(ISERROR(ROUND(POWER(1+E6,A6-C6)*(POWER(1+E6,C6)-1)/(POWER(1+E6,A6)-1),3)),0,ROUND(POWER(1+E6,A6-C6)*(POWER(1+E6,C6)-1)/(POWER(1+E6,A6)-1),4))</f>
        <v>0.42680000000000001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31.66</v>
      </c>
      <c r="D7" s="2765">
        <f>IF(ISERROR(ROUND(POWER(1+E7,A7-C7)*(POWER(1+E7,C7)-1)/(POWER(1+E7,A7)-1),3)),0,ROUND(POWER(1+E7,A7-C7)*(POWER(1+E7,C7)-1)/(POWER(1+E7,A7)-1),4))</f>
        <v>0.75990000000000002</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5" thickBot="1">
      <c r="A18" s="2770" t="s">
        <v>2513</v>
      </c>
      <c r="B18" s="2771">
        <f>ROUND(B17*F11/F12,2)</f>
        <v>5541.87</v>
      </c>
      <c r="C18" s="2771">
        <f>ROUND(F11/F12,4)</f>
        <v>1.1521999999999999</v>
      </c>
      <c r="D18" s="2772"/>
      <c r="E18" s="2772"/>
      <c r="F18" s="2773"/>
    </row>
    <row r="19" spans="1:14" ht="15" thickBot="1"/>
    <row r="20" spans="1:14" s="2806" customFormat="1" ht="1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L28" sqref="L28"/>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2165</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2166</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2167</v>
      </c>
      <c r="B3" s="2183">
        <v>45775</v>
      </c>
      <c r="C3" s="2184" t="s">
        <v>2168</v>
      </c>
      <c r="D3" s="2183">
        <f>B3</f>
        <v>45775</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2171</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2172</v>
      </c>
      <c r="B7" s="2196"/>
      <c r="C7" s="2194"/>
      <c r="D7" s="2195"/>
      <c r="E7" s="2439"/>
      <c r="F7" s="2440"/>
      <c r="G7" s="2440"/>
      <c r="H7" s="2440"/>
      <c r="I7" s="2440"/>
      <c r="J7" s="2243"/>
      <c r="K7" s="2400"/>
      <c r="L7" s="2397"/>
      <c r="M7" s="2397"/>
      <c r="N7" s="2243"/>
      <c r="O7" s="1668"/>
      <c r="P7" s="2243"/>
      <c r="Q7" s="2243"/>
      <c r="R7" s="2243"/>
    </row>
    <row r="8" spans="1:30">
      <c r="A8" s="2197" t="s">
        <v>2173</v>
      </c>
      <c r="B8" s="2198" t="s">
        <v>3409</v>
      </c>
      <c r="C8" s="2199"/>
      <c r="D8" s="3227" t="s">
        <v>2174</v>
      </c>
      <c r="E8" s="2200" t="s">
        <v>3410</v>
      </c>
      <c r="F8" s="2201"/>
      <c r="G8" s="2440"/>
      <c r="H8" s="2440"/>
      <c r="I8" s="2440"/>
      <c r="J8" s="2243"/>
      <c r="K8" s="2398"/>
      <c r="L8" s="2397"/>
      <c r="M8" s="2397"/>
      <c r="N8" s="2243"/>
      <c r="O8" s="1668"/>
      <c r="P8" s="2243"/>
      <c r="Q8" s="2243"/>
      <c r="R8" s="2243"/>
    </row>
    <row r="9" spans="1:30" ht="13.8" thickBot="1">
      <c r="A9" s="2202" t="s">
        <v>2175</v>
      </c>
      <c r="B9" s="2203" t="s">
        <v>3410</v>
      </c>
      <c r="C9" s="2204"/>
      <c r="D9" s="3228"/>
      <c r="E9" s="2203" t="s">
        <v>43</v>
      </c>
      <c r="F9" s="2205"/>
      <c r="G9" s="2441"/>
      <c r="H9" s="2441"/>
      <c r="I9" s="2441"/>
      <c r="J9" s="2243"/>
      <c r="K9" s="2400"/>
      <c r="L9" s="2397"/>
      <c r="M9" s="2397"/>
      <c r="N9" s="2243"/>
      <c r="O9" s="1668"/>
      <c r="P9" s="2243"/>
      <c r="Q9" s="2243"/>
      <c r="R9" s="2243"/>
    </row>
    <row r="10" spans="1:30" ht="13.8" thickTop="1">
      <c r="A10" s="2206" t="s">
        <v>2176</v>
      </c>
      <c r="B10" s="2207" t="s">
        <v>3411</v>
      </c>
      <c r="C10" s="2208"/>
      <c r="D10" s="2191"/>
      <c r="E10" s="2209" t="s">
        <v>2177</v>
      </c>
      <c r="F10" s="2442"/>
      <c r="G10" s="2443"/>
      <c r="H10" s="2444"/>
      <c r="I10" s="2445"/>
      <c r="J10" s="2243"/>
      <c r="K10" s="2400"/>
      <c r="L10" s="2397"/>
      <c r="M10" s="2397"/>
      <c r="N10" s="2243"/>
      <c r="O10" s="1668"/>
      <c r="P10" s="2243"/>
      <c r="Q10" s="2243"/>
      <c r="R10" s="2243"/>
    </row>
    <row r="11" spans="1:30">
      <c r="A11" s="2210" t="s">
        <v>2178</v>
      </c>
      <c r="B11" s="2211" t="s">
        <v>3412</v>
      </c>
      <c r="C11" s="2212"/>
      <c r="D11" s="2213"/>
      <c r="E11" s="2180"/>
      <c r="F11" s="2180"/>
      <c r="G11" s="2180"/>
      <c r="H11" s="2180"/>
      <c r="I11" s="2180"/>
      <c r="J11" s="2799"/>
      <c r="K11" s="2397"/>
      <c r="L11" s="2397"/>
      <c r="M11" s="2397"/>
      <c r="N11" s="2243"/>
      <c r="O11" s="1668"/>
      <c r="P11" s="2243"/>
      <c r="Q11" s="2243"/>
      <c r="R11" s="2243"/>
    </row>
    <row r="12" spans="1:30">
      <c r="A12" s="2214" t="s">
        <v>2179</v>
      </c>
      <c r="B12" s="315" t="s">
        <v>2180</v>
      </c>
      <c r="C12" s="2215" t="s">
        <v>2181</v>
      </c>
      <c r="D12" s="2215" t="s">
        <v>2182</v>
      </c>
      <c r="E12" s="2215" t="s">
        <v>2183</v>
      </c>
      <c r="F12" s="2215" t="s">
        <v>2184</v>
      </c>
      <c r="G12" s="2215" t="s">
        <v>2185</v>
      </c>
      <c r="H12" s="2215" t="s">
        <v>2186</v>
      </c>
      <c r="I12" s="2798" t="s">
        <v>2573</v>
      </c>
      <c r="J12" s="2800"/>
      <c r="K12" s="2397"/>
      <c r="L12" s="2397"/>
      <c r="M12" s="2243"/>
      <c r="N12" s="1668"/>
      <c r="O12" s="2243"/>
      <c r="P12" s="2243"/>
      <c r="Q12" s="2243"/>
      <c r="AD12" s="1616"/>
    </row>
    <row r="13" spans="1:30">
      <c r="A13" s="3119" t="s">
        <v>3329</v>
      </c>
      <c r="B13" s="2216" t="s">
        <v>2187</v>
      </c>
      <c r="C13" s="801">
        <v>46752</v>
      </c>
      <c r="D13" s="801">
        <v>46918</v>
      </c>
      <c r="E13" s="801"/>
      <c r="F13" s="801"/>
      <c r="G13" s="801"/>
      <c r="H13" s="801"/>
      <c r="I13" s="801">
        <v>55121</v>
      </c>
      <c r="J13" s="2800"/>
      <c r="K13" s="2397"/>
      <c r="L13" s="2397"/>
      <c r="M13" s="2243"/>
      <c r="N13" s="1668"/>
      <c r="O13" s="2243"/>
      <c r="P13" s="2243"/>
      <c r="Q13" s="2243"/>
      <c r="AD13" s="1616"/>
    </row>
    <row r="14" spans="1:30">
      <c r="A14" s="1016"/>
      <c r="B14" s="2216" t="s">
        <v>2188</v>
      </c>
      <c r="C14" s="2217"/>
      <c r="D14" s="2217"/>
      <c r="E14" s="2217"/>
      <c r="F14" s="2217"/>
      <c r="G14" s="2217"/>
      <c r="H14" s="2217"/>
      <c r="I14" s="2217">
        <v>50</v>
      </c>
      <c r="J14" s="2801"/>
      <c r="K14" s="2397"/>
      <c r="L14" s="2397"/>
      <c r="M14" s="2243"/>
      <c r="N14" s="1668"/>
      <c r="O14" s="2243"/>
      <c r="P14" s="2243"/>
      <c r="Q14" s="2243"/>
      <c r="AD14" s="1616"/>
    </row>
    <row r="15" spans="1:30">
      <c r="A15" s="312"/>
      <c r="B15" s="2218" t="s">
        <v>2189</v>
      </c>
      <c r="C15" s="2219">
        <f>IF(A13="出让",IF(C13="","",ROUNDDOWN(MIN((C13-$D$3)/365,C14),2)),C14)</f>
        <v>2.67</v>
      </c>
      <c r="D15" s="2219">
        <f>IF(A13="出让",IF(D13="","",ROUNDDOWN(MIN((D13-$D$3)/365,D14),2)),D14)</f>
        <v>3.13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25.6</v>
      </c>
      <c r="J15" s="2802"/>
      <c r="K15" s="1668"/>
      <c r="L15" s="1668"/>
      <c r="M15" s="2243"/>
      <c r="N15" s="1668"/>
      <c r="O15" s="2243"/>
      <c r="P15" s="2243"/>
      <c r="Q15" s="2243"/>
      <c r="AD15" s="1616"/>
    </row>
    <row r="16" spans="1:30">
      <c r="A16" s="2209" t="s">
        <v>2190</v>
      </c>
      <c r="B16" s="3234"/>
      <c r="C16" s="3235"/>
      <c r="D16" s="3236"/>
      <c r="E16" s="2220" t="s">
        <v>2191</v>
      </c>
      <c r="F16" s="3237"/>
      <c r="G16" s="3238"/>
      <c r="H16" s="3238"/>
      <c r="I16" s="3239"/>
      <c r="J16" s="2243"/>
      <c r="K16" s="2401"/>
      <c r="L16" s="1668"/>
      <c r="M16" s="1668"/>
      <c r="N16" s="2243"/>
      <c r="O16" s="1668"/>
      <c r="P16" s="2243"/>
      <c r="Q16" s="2243"/>
      <c r="R16" s="2243"/>
    </row>
    <row r="17" spans="1:28">
      <c r="A17" s="305" t="s">
        <v>2192</v>
      </c>
      <c r="B17" s="294" t="s">
        <v>2193</v>
      </c>
      <c r="C17" s="8">
        <f>'数据-汇总表'!E3</f>
        <v>36780.86</v>
      </c>
      <c r="D17" s="1254" t="s">
        <v>2194</v>
      </c>
      <c r="E17" s="3240" t="s">
        <v>2195</v>
      </c>
      <c r="F17" s="3241"/>
      <c r="G17" s="3241"/>
      <c r="H17" s="3241"/>
      <c r="I17" s="3242"/>
      <c r="J17" s="2243"/>
      <c r="K17" s="2402"/>
      <c r="L17" s="1668"/>
      <c r="M17" s="1668"/>
      <c r="N17" s="2243"/>
      <c r="O17" s="1668"/>
      <c r="P17" s="2243"/>
      <c r="Q17" s="2243"/>
      <c r="R17" s="2243"/>
      <c r="S17" s="2243"/>
      <c r="T17" s="2243"/>
      <c r="U17" s="2243"/>
      <c r="V17" s="2243"/>
    </row>
    <row r="18" spans="1:28" ht="24.6" thickBot="1">
      <c r="A18" s="2221" t="s">
        <v>2196</v>
      </c>
      <c r="B18" s="1025" t="s">
        <v>2197</v>
      </c>
      <c r="C18" s="2222">
        <f>'数据-汇总表'!D3</f>
        <v>17362.38</v>
      </c>
      <c r="D18" s="1027" t="s">
        <v>2198</v>
      </c>
      <c r="E18" s="3243" t="s">
        <v>2199</v>
      </c>
      <c r="F18" s="3244"/>
      <c r="G18" s="3244"/>
      <c r="H18" s="3244"/>
      <c r="I18" s="3245"/>
      <c r="J18" s="2243"/>
      <c r="K18" s="2402"/>
      <c r="L18" s="1668"/>
      <c r="M18" s="1668"/>
      <c r="N18" s="2243"/>
      <c r="O18" s="1668"/>
      <c r="P18" s="2243"/>
      <c r="Q18" s="2243"/>
      <c r="R18" s="2243"/>
      <c r="S18" s="2243"/>
      <c r="T18" s="2243"/>
      <c r="U18" s="2243"/>
      <c r="V18" s="2243"/>
    </row>
    <row r="19" spans="1:28" ht="37.200000000000003" thickTop="1" thickBot="1">
      <c r="A19" s="319" t="s">
        <v>1053</v>
      </c>
      <c r="B19" s="299" t="s">
        <v>2200</v>
      </c>
      <c r="C19" s="1453"/>
      <c r="D19" s="1454" t="s">
        <v>2201</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2202</v>
      </c>
      <c r="B20" s="3230" t="s">
        <v>2203</v>
      </c>
      <c r="C20" s="3231"/>
      <c r="D20" s="3232" t="s">
        <v>2204</v>
      </c>
      <c r="E20" s="3233"/>
      <c r="F20" s="2428" t="s">
        <v>1054</v>
      </c>
      <c r="G20" s="2440"/>
      <c r="H20" s="2440"/>
      <c r="I20" s="2440"/>
      <c r="J20" s="2243"/>
      <c r="K20" s="3229"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5"/>
      <c r="B21" s="2416" t="s">
        <v>2206</v>
      </c>
      <c r="C21" s="2294" t="s">
        <v>1055</v>
      </c>
      <c r="D21" s="1458" t="s">
        <v>2207</v>
      </c>
      <c r="E21" s="2417" t="s">
        <v>1055</v>
      </c>
      <c r="F21" s="2429"/>
      <c r="G21" s="2440"/>
      <c r="H21" s="2440"/>
      <c r="I21" s="2440"/>
      <c r="J21" s="2243"/>
      <c r="K21" s="322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5"/>
      <c r="B22" s="2418" t="s">
        <v>2208</v>
      </c>
      <c r="C22" s="2294" t="s">
        <v>1056</v>
      </c>
      <c r="D22" s="2440"/>
      <c r="E22" s="2440"/>
      <c r="F22" s="2440"/>
      <c r="G22" s="2440"/>
      <c r="H22" s="2440"/>
      <c r="I22" s="2440"/>
      <c r="J22" s="2243"/>
      <c r="K22" s="322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2209</v>
      </c>
      <c r="B23" s="2291" t="s">
        <v>2210</v>
      </c>
      <c r="C23" s="2420"/>
      <c r="D23" s="2421" t="s">
        <v>2210</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1057</v>
      </c>
      <c r="C24" s="2269"/>
      <c r="D24" s="2419" t="s">
        <v>1057</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1058</v>
      </c>
      <c r="C25" s="2269"/>
      <c r="D25" s="2419" t="s">
        <v>1058</v>
      </c>
      <c r="E25" s="2423"/>
      <c r="F25" s="2440"/>
      <c r="G25" s="2440"/>
      <c r="H25" s="2440"/>
      <c r="I25" s="2440"/>
      <c r="J25" s="2243"/>
      <c r="K25" s="2400"/>
      <c r="L25" s="2397"/>
      <c r="M25" s="2397"/>
      <c r="N25" s="2243"/>
      <c r="O25" s="1668"/>
      <c r="P25" s="2243"/>
      <c r="Q25" s="2243"/>
      <c r="R25" s="2243"/>
      <c r="S25" s="2243"/>
      <c r="T25" s="2243"/>
      <c r="U25" s="2243"/>
      <c r="V25" s="2243"/>
    </row>
    <row r="26" spans="1:28" ht="13.8" thickBot="1">
      <c r="A26" s="2424"/>
      <c r="B26" s="2425" t="s">
        <v>1059</v>
      </c>
      <c r="C26" s="2426"/>
      <c r="D26" s="2424" t="s">
        <v>1059</v>
      </c>
      <c r="E26" s="2427"/>
      <c r="F26" s="2441"/>
      <c r="G26" s="2441"/>
      <c r="H26" s="2441"/>
      <c r="I26" s="2441"/>
      <c r="J26" s="2243"/>
      <c r="K26" s="2400"/>
      <c r="L26" s="2397"/>
      <c r="M26" s="2397"/>
      <c r="N26" s="2243"/>
      <c r="O26" s="1668"/>
      <c r="P26" s="2243"/>
      <c r="Q26" s="2243"/>
      <c r="R26" s="2243"/>
      <c r="S26" s="2243"/>
      <c r="T26" s="2243"/>
      <c r="U26" s="2243"/>
      <c r="V26" s="2243"/>
    </row>
    <row r="27" spans="1:28" ht="13.8" thickTop="1">
      <c r="A27" s="3218" t="s">
        <v>2211</v>
      </c>
      <c r="B27" s="312" t="s">
        <v>2212</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18"/>
      <c r="B28" s="294" t="s">
        <v>2213</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18"/>
      <c r="B29" s="294" t="s">
        <v>2214</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19"/>
      <c r="B30" s="294" t="s">
        <v>2215</v>
      </c>
      <c r="C30" s="3220"/>
      <c r="D30" s="3221"/>
      <c r="E30" s="2440"/>
      <c r="F30" s="2440"/>
      <c r="G30" s="2440"/>
      <c r="H30" s="2440"/>
      <c r="I30" s="2440"/>
      <c r="J30" s="2243"/>
      <c r="K30" s="2400"/>
      <c r="L30" s="2397"/>
      <c r="M30" s="2397"/>
      <c r="N30" s="2243"/>
      <c r="O30" s="1668"/>
      <c r="P30" s="2243"/>
      <c r="Q30" s="2243"/>
      <c r="R30" s="2243"/>
      <c r="S30" s="2243"/>
      <c r="T30" s="2243"/>
      <c r="U30" s="2243"/>
      <c r="V30" s="2243"/>
    </row>
    <row r="31" spans="1:28">
      <c r="A31" s="3222" t="s">
        <v>2216</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23"/>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23"/>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17" t="s">
        <v>2225</v>
      </c>
      <c r="T34" s="315" t="str">
        <f>NUMBERSTRING(7-K34,1)&amp;"通"</f>
        <v>七通</v>
      </c>
      <c r="U34" s="2243"/>
      <c r="V34" s="2243"/>
    </row>
    <row r="35" spans="1:30">
      <c r="A35" s="2234"/>
      <c r="B35" s="3217" t="s">
        <v>2226</v>
      </c>
      <c r="C35" s="3217"/>
      <c r="D35" s="3217"/>
      <c r="E35" s="321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1"/>
      <c r="B36" s="8" t="s">
        <v>2182</v>
      </c>
      <c r="C36" s="8" t="s">
        <v>2183</v>
      </c>
      <c r="D36" s="8" t="s">
        <v>2181</v>
      </c>
      <c r="E36" s="8" t="s">
        <v>2186</v>
      </c>
      <c r="F36" s="2798" t="s">
        <v>2576</v>
      </c>
      <c r="G36" s="2440"/>
      <c r="H36" s="2440"/>
      <c r="I36" s="2440"/>
      <c r="J36" s="2243"/>
      <c r="K36" s="2400"/>
      <c r="L36" s="2397"/>
      <c r="M36" s="2397"/>
      <c r="N36" s="2243"/>
      <c r="O36" s="1668"/>
      <c r="P36" s="2243"/>
      <c r="Q36" s="2243"/>
      <c r="R36" s="2243"/>
      <c r="S36" s="2243"/>
      <c r="T36" s="2243"/>
      <c r="U36" s="2243"/>
      <c r="V36" s="2243"/>
    </row>
    <row r="37" spans="1:30">
      <c r="A37" s="2413" t="s">
        <v>2227</v>
      </c>
      <c r="B37" s="2235"/>
      <c r="C37" s="2235"/>
      <c r="D37" s="2235"/>
      <c r="E37" s="2235"/>
      <c r="F37" s="2235" t="s">
        <v>306</v>
      </c>
      <c r="G37" s="2440"/>
      <c r="H37" s="2440"/>
      <c r="I37" s="2440"/>
      <c r="J37" s="2243"/>
      <c r="K37" s="2400"/>
      <c r="L37" s="2397"/>
      <c r="M37" s="2397"/>
      <c r="N37" s="2243"/>
      <c r="O37" s="1668"/>
      <c r="P37" s="2243"/>
      <c r="Q37" s="2243"/>
      <c r="R37" s="2243"/>
      <c r="S37" s="2243"/>
      <c r="T37" s="2243"/>
      <c r="U37" s="2243"/>
      <c r="V37" s="2243"/>
    </row>
    <row r="38" spans="1:30" ht="13.8" thickBot="1">
      <c r="A38" s="2414" t="s">
        <v>2228</v>
      </c>
      <c r="B38" s="2236"/>
      <c r="C38" s="2236"/>
      <c r="D38" s="2236"/>
      <c r="E38" s="2236"/>
      <c r="F38" s="2236" t="s">
        <v>2959</v>
      </c>
      <c r="G38" s="2441"/>
      <c r="H38" s="2441"/>
      <c r="I38" s="2441"/>
      <c r="J38" s="2243"/>
      <c r="K38" s="2400"/>
      <c r="L38" s="2397"/>
      <c r="M38" s="2397"/>
      <c r="N38" s="2243"/>
      <c r="O38" s="1668"/>
      <c r="P38" s="2243"/>
      <c r="Q38" s="2243"/>
      <c r="R38" s="2243"/>
      <c r="S38" s="2243"/>
      <c r="T38" s="2243"/>
      <c r="U38" s="2243"/>
      <c r="V38" s="2243"/>
    </row>
    <row r="39" spans="1:30" s="2239" customFormat="1" ht="14.4"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2230</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2">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4" customFormat="1">
      <c r="A43" s="1460"/>
      <c r="B43" s="986"/>
      <c r="C43" s="986"/>
      <c r="D43" s="986"/>
      <c r="E43" s="986"/>
      <c r="F43" s="986"/>
      <c r="G43" s="986"/>
      <c r="H43" s="986"/>
      <c r="I43" s="986"/>
      <c r="J43" s="2241"/>
      <c r="K43" s="2242"/>
      <c r="L43" s="2242"/>
      <c r="M43" s="986"/>
      <c r="N43" s="986"/>
      <c r="O43" s="986"/>
      <c r="P43" s="986"/>
      <c r="Q43" s="986"/>
      <c r="R43" s="986"/>
      <c r="S43" s="2243"/>
      <c r="T43" s="2243"/>
      <c r="U43" s="2243"/>
      <c r="V43" s="2243"/>
    </row>
    <row r="44" spans="1:30" s="1614" customFormat="1">
      <c r="A44" s="1460"/>
      <c r="B44" s="1460"/>
      <c r="C44" s="986"/>
      <c r="D44" s="986"/>
      <c r="E44" s="986"/>
      <c r="F44" s="986"/>
      <c r="G44" s="986"/>
      <c r="H44" s="986"/>
      <c r="I44" s="986"/>
      <c r="J44" s="2241"/>
      <c r="K44" s="2242"/>
      <c r="L44" s="2242"/>
      <c r="M44" s="986"/>
      <c r="N44" s="986"/>
      <c r="O44" s="986"/>
      <c r="P44" s="986"/>
      <c r="Q44" s="986"/>
      <c r="R44" s="986"/>
      <c r="S44" s="2243"/>
      <c r="T44" s="2243"/>
      <c r="U44" s="2243"/>
      <c r="V44" s="2243"/>
    </row>
    <row r="45" spans="1:30" s="1614" customFormat="1">
      <c r="A45" s="1460"/>
      <c r="B45" s="1460"/>
      <c r="C45" s="986"/>
      <c r="D45" s="986"/>
      <c r="E45" s="986"/>
      <c r="F45" s="986"/>
      <c r="G45" s="986"/>
      <c r="H45" s="986"/>
      <c r="I45" s="986"/>
      <c r="J45" s="2241"/>
      <c r="K45" s="2242"/>
      <c r="L45" s="2242"/>
      <c r="M45" s="986"/>
      <c r="N45" s="986"/>
      <c r="O45" s="986"/>
      <c r="P45" s="986"/>
      <c r="Q45" s="986"/>
      <c r="R45" s="986"/>
      <c r="S45" s="2243"/>
      <c r="T45" s="2243"/>
      <c r="U45" s="2243"/>
      <c r="V45" s="2243"/>
    </row>
    <row r="46" spans="1:30" s="1614" customFormat="1">
      <c r="A46" s="1460"/>
      <c r="B46" s="1460"/>
      <c r="C46" s="986"/>
      <c r="D46" s="986"/>
      <c r="E46" s="986"/>
      <c r="F46" s="986"/>
      <c r="G46" s="986"/>
      <c r="H46" s="986"/>
      <c r="I46" s="986"/>
      <c r="J46" s="2241"/>
      <c r="K46" s="2242"/>
      <c r="L46" s="2242"/>
      <c r="M46" s="986"/>
      <c r="N46" s="986"/>
      <c r="O46" s="986"/>
      <c r="P46" s="986"/>
      <c r="Q46" s="986"/>
      <c r="R46" s="986"/>
      <c r="S46" s="2243"/>
      <c r="T46" s="2243"/>
      <c r="U46" s="2243"/>
      <c r="V46" s="2243"/>
    </row>
    <row r="47" spans="1:30" s="1614" customFormat="1">
      <c r="A47" s="1460"/>
      <c r="B47" s="1460"/>
      <c r="C47" s="986"/>
      <c r="D47" s="986"/>
      <c r="E47" s="986"/>
      <c r="F47" s="986"/>
      <c r="G47" s="986"/>
      <c r="H47" s="986"/>
      <c r="I47" s="986"/>
      <c r="J47" s="2241"/>
      <c r="K47" s="2242"/>
      <c r="L47" s="2242"/>
      <c r="M47" s="986"/>
      <c r="N47" s="986"/>
      <c r="O47" s="986"/>
      <c r="P47" s="986"/>
      <c r="Q47" s="986"/>
      <c r="R47" s="986"/>
      <c r="S47" s="2243"/>
      <c r="T47" s="2243"/>
      <c r="U47" s="2243"/>
      <c r="V47" s="2243"/>
    </row>
    <row r="48" spans="1:30" s="1614" customFormat="1">
      <c r="A48" s="1460"/>
      <c r="B48" s="1460"/>
      <c r="C48" s="986"/>
      <c r="D48" s="986"/>
      <c r="E48" s="986"/>
      <c r="F48" s="986"/>
      <c r="G48" s="986"/>
      <c r="H48" s="986"/>
      <c r="I48" s="986"/>
      <c r="J48" s="2241"/>
      <c r="K48" s="2242"/>
      <c r="L48" s="2242"/>
      <c r="M48" s="986"/>
      <c r="N48" s="986"/>
      <c r="O48" s="986"/>
      <c r="P48" s="986"/>
      <c r="Q48" s="986"/>
      <c r="R48" s="986"/>
      <c r="S48" s="2243"/>
      <c r="T48" s="2243"/>
      <c r="U48" s="2243"/>
      <c r="V48" s="2243"/>
    </row>
    <row r="49" spans="1:22" s="1614" customFormat="1">
      <c r="A49" s="1460"/>
      <c r="B49" s="1460"/>
      <c r="C49" s="986"/>
      <c r="D49" s="986"/>
      <c r="E49" s="986"/>
      <c r="F49" s="986"/>
      <c r="G49" s="986"/>
      <c r="H49" s="986"/>
      <c r="I49" s="986"/>
      <c r="J49" s="2241"/>
      <c r="K49" s="2242"/>
      <c r="L49" s="2242"/>
      <c r="M49" s="986"/>
      <c r="N49" s="986"/>
      <c r="O49" s="986"/>
      <c r="P49" s="986"/>
      <c r="Q49" s="986"/>
      <c r="R49" s="986"/>
      <c r="S49" s="2243"/>
      <c r="T49" s="2243"/>
      <c r="U49" s="2243"/>
      <c r="V49" s="2243"/>
    </row>
    <row r="50" spans="1:22" s="1614" customFormat="1">
      <c r="A50" s="1460"/>
      <c r="B50" s="1460"/>
      <c r="C50" s="986"/>
      <c r="D50" s="986"/>
      <c r="E50" s="986"/>
      <c r="F50" s="986"/>
      <c r="G50" s="986"/>
      <c r="H50" s="986"/>
      <c r="I50" s="986"/>
      <c r="J50" s="2241"/>
      <c r="K50" s="2242"/>
      <c r="L50" s="2242"/>
      <c r="M50" s="986"/>
      <c r="N50" s="986"/>
      <c r="O50" s="986"/>
      <c r="P50" s="986"/>
      <c r="Q50" s="986"/>
      <c r="R50" s="986"/>
      <c r="S50" s="2243"/>
      <c r="T50" s="2243"/>
      <c r="U50" s="2243"/>
      <c r="V50" s="2243"/>
    </row>
    <row r="51" spans="1:22" s="1614" customFormat="1">
      <c r="A51" s="1460"/>
      <c r="B51" s="1460"/>
      <c r="C51" s="986"/>
      <c r="D51" s="986"/>
      <c r="E51" s="986"/>
      <c r="F51" s="986"/>
      <c r="G51" s="986"/>
      <c r="H51" s="986"/>
      <c r="I51" s="986"/>
      <c r="J51" s="2241"/>
      <c r="K51" s="2242"/>
      <c r="L51" s="2242"/>
      <c r="M51" s="986"/>
      <c r="N51" s="986"/>
      <c r="O51" s="986"/>
      <c r="P51" s="986"/>
      <c r="Q51" s="986"/>
      <c r="R51" s="986"/>
    </row>
    <row r="52" spans="1:22" s="1614" customFormat="1">
      <c r="A52" s="1460"/>
      <c r="B52" s="1460"/>
      <c r="C52" s="1460"/>
      <c r="D52" s="1460"/>
      <c r="E52" s="1460"/>
      <c r="F52" s="986"/>
      <c r="G52" s="1460"/>
      <c r="H52" s="1460"/>
      <c r="I52" s="1460"/>
      <c r="J52" s="2244"/>
      <c r="K52" s="2242"/>
      <c r="L52" s="2242"/>
      <c r="M52" s="2242"/>
      <c r="N52" s="1460"/>
      <c r="O52" s="1460"/>
      <c r="P52" s="1460"/>
      <c r="Q52" s="1460"/>
      <c r="R52" s="1460"/>
    </row>
    <row r="53" spans="1:22" s="1614" customFormat="1">
      <c r="A53" s="1460"/>
      <c r="B53" s="1460"/>
      <c r="C53" s="1460"/>
      <c r="D53" s="1460"/>
      <c r="E53" s="1460"/>
      <c r="F53" s="986"/>
      <c r="G53" s="1460"/>
      <c r="H53" s="1460"/>
      <c r="I53" s="1460"/>
      <c r="J53" s="2244"/>
      <c r="K53" s="2242"/>
      <c r="L53" s="2242"/>
      <c r="M53" s="2242"/>
      <c r="N53" s="1460"/>
      <c r="O53" s="1460"/>
      <c r="P53" s="1460"/>
      <c r="Q53" s="1460"/>
      <c r="R53" s="1460"/>
    </row>
    <row r="54" spans="1:22" s="1614" customFormat="1">
      <c r="A54" s="1460"/>
      <c r="B54" s="1460"/>
      <c r="C54" s="1460"/>
      <c r="D54" s="1460"/>
      <c r="E54" s="1460"/>
      <c r="F54" s="986"/>
      <c r="G54" s="1460"/>
      <c r="H54" s="1460"/>
      <c r="I54" s="1460"/>
      <c r="J54" s="2244"/>
      <c r="K54" s="2242"/>
      <c r="L54" s="2242"/>
      <c r="M54" s="2242"/>
      <c r="N54" s="1460"/>
      <c r="O54" s="1460"/>
      <c r="P54" s="1460"/>
      <c r="Q54" s="1460"/>
      <c r="R54" s="1460"/>
    </row>
    <row r="55" spans="1:22" s="1614" customFormat="1">
      <c r="A55" s="1460"/>
      <c r="B55" s="1460"/>
      <c r="C55" s="1460"/>
      <c r="D55" s="1460"/>
      <c r="E55" s="1460"/>
      <c r="F55" s="986"/>
      <c r="G55" s="1460"/>
      <c r="H55" s="1460"/>
      <c r="I55" s="1460"/>
      <c r="J55" s="2244"/>
      <c r="K55" s="2242"/>
      <c r="L55" s="2242"/>
      <c r="M55" s="2242"/>
      <c r="N55" s="1460"/>
      <c r="O55" s="1460"/>
      <c r="P55" s="1460"/>
      <c r="Q55" s="1460"/>
      <c r="R55" s="1460"/>
    </row>
    <row r="56" spans="1:22" s="1614" customFormat="1">
      <c r="A56" s="1460"/>
      <c r="B56" s="1460"/>
      <c r="C56" s="1460"/>
      <c r="D56" s="1460"/>
      <c r="E56" s="1460"/>
      <c r="F56" s="98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2" width="9.44140625" style="1461" customWidth="1"/>
    <col min="13" max="14" width="9.44140625" style="1461" hidden="1" customWidth="1"/>
    <col min="15" max="15" width="9.88671875" style="1461" hidden="1" customWidth="1"/>
    <col min="16" max="16" width="9.77734375" style="1461" hidden="1" customWidth="1"/>
    <col min="17" max="17" width="9.33203125" style="1461" hidden="1" customWidth="1"/>
    <col min="18" max="18" width="9.21875" style="1461" hidden="1" customWidth="1"/>
    <col min="19" max="19" width="10.88671875" style="1461" hidden="1" customWidth="1"/>
    <col min="20" max="21" width="10.77734375" style="1461" hidden="1" customWidth="1"/>
    <col min="22" max="22" width="10.88671875" style="1461" hidden="1" customWidth="1"/>
    <col min="23" max="27" width="10.77734375" style="1461" hidden="1" customWidth="1"/>
    <col min="28" max="28" width="10.88671875" style="1461" hidden="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1060</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1061</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1062</v>
      </c>
      <c r="B2" s="8" t="s">
        <v>1063</v>
      </c>
      <c r="C2" s="8" t="s">
        <v>1064</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3" t="s">
        <v>1065</v>
      </c>
      <c r="AZ2" s="984" t="s">
        <v>1066</v>
      </c>
      <c r="BA2" s="8" t="s">
        <v>1067</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17362.38</v>
      </c>
      <c r="B3" s="11">
        <f>IF(C3="否",G5-AT5,G5)</f>
        <v>36780.86</v>
      </c>
      <c r="C3" s="1467" t="s">
        <v>1068</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5"/>
      <c r="AZ3" s="98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1069</v>
      </c>
      <c r="B5" s="1257"/>
      <c r="C5" s="1257"/>
      <c r="D5" s="125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1069</v>
      </c>
      <c r="AW5" s="1257"/>
      <c r="AX5" s="1257"/>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1070</v>
      </c>
      <c r="B6" s="1472"/>
      <c r="C6" s="1472"/>
      <c r="D6" s="1473"/>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1070</v>
      </c>
      <c r="AW6" s="1472"/>
      <c r="AX6" s="1472"/>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1071</v>
      </c>
      <c r="B7" s="1459" t="s">
        <v>1072</v>
      </c>
      <c r="C7" s="1459" t="s">
        <v>1073</v>
      </c>
      <c r="D7" s="1459" t="s">
        <v>1074</v>
      </c>
      <c r="E7" s="1459" t="s">
        <v>1075</v>
      </c>
      <c r="F7" s="1459" t="s">
        <v>1076</v>
      </c>
      <c r="G7" s="1476" t="s">
        <v>1077</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1078</v>
      </c>
      <c r="AV7" s="20" t="s">
        <v>1079</v>
      </c>
      <c r="AW7" s="1464" t="s">
        <v>1080</v>
      </c>
      <c r="AX7" s="20" t="s">
        <v>1073</v>
      </c>
      <c r="AY7" s="1257" t="s">
        <v>1081</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1082</v>
      </c>
      <c r="H8" s="1482" t="s">
        <v>1083</v>
      </c>
      <c r="I8" s="1483"/>
      <c r="J8" s="1267"/>
      <c r="K8" s="1267"/>
      <c r="L8" s="1267"/>
      <c r="M8" s="1267"/>
      <c r="N8" s="1267"/>
      <c r="O8" s="1267"/>
      <c r="P8" s="1267"/>
      <c r="Q8" s="1267"/>
      <c r="R8" s="1267"/>
      <c r="S8" s="1267"/>
      <c r="T8" s="1267"/>
      <c r="U8" s="1267"/>
      <c r="V8" s="1484"/>
      <c r="W8" s="1267"/>
      <c r="X8" s="1267"/>
      <c r="Y8" s="1267"/>
      <c r="Z8" s="1267"/>
      <c r="AA8" s="1484"/>
      <c r="AB8" s="1485"/>
      <c r="AC8" s="759" t="s">
        <v>1084</v>
      </c>
      <c r="AD8" s="1486"/>
      <c r="AE8" s="1478"/>
      <c r="AF8" s="1267"/>
      <c r="AG8" s="1267"/>
      <c r="AH8" s="1267"/>
      <c r="AI8" s="1267"/>
      <c r="AJ8" s="1267"/>
      <c r="AK8" s="1267"/>
      <c r="AL8" s="1267"/>
      <c r="AM8" s="1267"/>
      <c r="AN8" s="1267"/>
      <c r="AO8" s="1267"/>
      <c r="AP8" s="1267"/>
      <c r="AQ8" s="1267"/>
      <c r="AR8" s="1267"/>
      <c r="AS8" s="1267"/>
      <c r="AT8" s="1005" t="s">
        <v>1085</v>
      </c>
      <c r="AU8" s="1480" t="s">
        <v>1086</v>
      </c>
      <c r="AV8" s="1005"/>
      <c r="AW8" s="1465"/>
      <c r="AX8" s="1005"/>
      <c r="AY8" s="1464" t="s">
        <v>1087</v>
      </c>
      <c r="AZ8" s="1266" t="s">
        <v>1088</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1089</v>
      </c>
      <c r="I9" s="1489" t="s">
        <v>3416</v>
      </c>
      <c r="J9" s="759"/>
      <c r="K9" s="1489" t="s">
        <v>3417</v>
      </c>
      <c r="L9" s="759"/>
      <c r="M9" s="1489"/>
      <c r="N9" s="759"/>
      <c r="O9" s="1489"/>
      <c r="P9" s="759"/>
      <c r="Q9" s="1489"/>
      <c r="R9" s="759"/>
      <c r="S9" s="1489"/>
      <c r="T9" s="759"/>
      <c r="U9" s="1489"/>
      <c r="V9" s="759"/>
      <c r="W9" s="1489"/>
      <c r="X9" s="1490"/>
      <c r="Y9" s="1489"/>
      <c r="Z9" s="759"/>
      <c r="AA9" s="1489"/>
      <c r="AB9" s="759"/>
      <c r="AC9" s="1481"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1"/>
      <c r="AT9" s="1480"/>
      <c r="AU9" s="1480" t="s">
        <v>1092</v>
      </c>
      <c r="AV9" s="1005"/>
      <c r="AW9" s="1465"/>
      <c r="AX9" s="1005"/>
      <c r="AY9" s="25"/>
      <c r="AZ9" s="25" t="s">
        <v>1082</v>
      </c>
      <c r="BA9" s="1492" t="s">
        <v>1093</v>
      </c>
      <c r="BB9" s="1493"/>
      <c r="BC9" s="1023"/>
      <c r="BD9" s="1023"/>
      <c r="BE9" s="1023"/>
      <c r="BF9" s="1023"/>
      <c r="BG9" s="1023"/>
      <c r="BH9" s="1023"/>
      <c r="BI9" s="1023"/>
      <c r="BJ9" s="1023"/>
      <c r="BK9" s="1494"/>
      <c r="BL9" s="12" t="s">
        <v>1094</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1095</v>
      </c>
      <c r="AE10" s="1496"/>
      <c r="AF10" s="12" t="s">
        <v>1095</v>
      </c>
      <c r="AG10" s="1496"/>
      <c r="AH10" s="12" t="s">
        <v>1096</v>
      </c>
      <c r="AI10" s="1496"/>
      <c r="AJ10" s="12" t="s">
        <v>1096</v>
      </c>
      <c r="AK10" s="1496"/>
      <c r="AL10" s="12" t="s">
        <v>1097</v>
      </c>
      <c r="AM10" s="1011"/>
      <c r="AN10" s="12" t="s">
        <v>1097</v>
      </c>
      <c r="AO10" s="1011"/>
      <c r="AP10" s="12" t="s">
        <v>1098</v>
      </c>
      <c r="AQ10" s="1011"/>
      <c r="AR10" s="12" t="s">
        <v>1098</v>
      </c>
      <c r="AS10" s="1011"/>
      <c r="AT10" s="1480"/>
      <c r="AU10" s="1480"/>
      <c r="AV10" s="1005"/>
      <c r="AW10" s="1465"/>
      <c r="AX10" s="1005"/>
      <c r="AY10" s="25"/>
      <c r="AZ10" s="25"/>
      <c r="BA10" s="1497" t="s">
        <v>1089</v>
      </c>
      <c r="BB10" s="1498" t="str">
        <f>I9</f>
        <v>地上</v>
      </c>
      <c r="BC10" s="26" t="str">
        <f>K9</f>
        <v>地下</v>
      </c>
      <c r="BD10" s="26">
        <f>M9</f>
        <v>0</v>
      </c>
      <c r="BE10" s="26">
        <f>O9</f>
        <v>0</v>
      </c>
      <c r="BF10" s="26">
        <f>Q9</f>
        <v>0</v>
      </c>
      <c r="BG10" s="26">
        <f>S9</f>
        <v>0</v>
      </c>
      <c r="BH10" s="26">
        <f>U9</f>
        <v>0</v>
      </c>
      <c r="BI10" s="26">
        <f>W9</f>
        <v>0</v>
      </c>
      <c r="BJ10" s="26">
        <f>Y9</f>
        <v>0</v>
      </c>
      <c r="BK10" s="26">
        <f>AA9</f>
        <v>0</v>
      </c>
      <c r="BL10" s="22" t="s">
        <v>1089</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1099</v>
      </c>
      <c r="AE11" s="1268"/>
      <c r="AF11" s="1502" t="s">
        <v>1099</v>
      </c>
      <c r="AG11" s="1268"/>
      <c r="AH11" s="1502" t="s">
        <v>1100</v>
      </c>
      <c r="AI11" s="1503"/>
      <c r="AJ11" s="1502" t="s">
        <v>1100</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6" t="s">
        <v>1102</v>
      </c>
      <c r="W12" s="8" t="s">
        <v>1101</v>
      </c>
      <c r="X12" s="8" t="s">
        <v>1102</v>
      </c>
      <c r="Y12" s="8" t="s">
        <v>1101</v>
      </c>
      <c r="Z12" s="8" t="s">
        <v>1102</v>
      </c>
      <c r="AA12" s="8" t="s">
        <v>1101</v>
      </c>
      <c r="AB12" s="8" t="s">
        <v>1102</v>
      </c>
      <c r="AC12" s="1507"/>
      <c r="AD12" s="125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5" t="s">
        <v>1102</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986"/>
      <c r="B13" s="986"/>
      <c r="C13" s="3160" t="s">
        <v>3413</v>
      </c>
      <c r="D13" s="1511" t="s">
        <v>3415</v>
      </c>
      <c r="E13" s="13">
        <f>IF($C$3="是",ROUND($A$3*G13/$B$3,2),ROUND($A$3*(G13-AT13)/$B$3,2))</f>
        <v>5422.86</v>
      </c>
      <c r="F13" s="29"/>
      <c r="G13" s="30">
        <f>H13+AC13+AT13</f>
        <v>11487.92</v>
      </c>
      <c r="H13" s="17">
        <f>SUMIF(I$12:AB$12,"总值",I13:AB13)</f>
        <v>11487.92</v>
      </c>
      <c r="I13" s="1512">
        <v>11487.92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12号楼</v>
      </c>
      <c r="AY13" s="125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986"/>
      <c r="B14" s="986"/>
      <c r="C14" s="3160" t="s">
        <v>3414</v>
      </c>
      <c r="D14" s="1511" t="s">
        <v>3415</v>
      </c>
      <c r="E14" s="13">
        <f>IF($C$3="是",ROUND($A$3*G14/$B$3,2),ROUND($A$3*(G14-AT14)/$B$3,2))</f>
        <v>11939.52</v>
      </c>
      <c r="F14" s="29"/>
      <c r="G14" s="30">
        <f>H14+AC14+AT14</f>
        <v>25292.940000000002</v>
      </c>
      <c r="H14" s="17">
        <f>SUMIF(I$12:AB$12,"总值",I14:AB14)</f>
        <v>25292.940000000002</v>
      </c>
      <c r="I14" s="1512">
        <f>25292.94-K14</f>
        <v>18756.07</v>
      </c>
      <c r="J14" s="1512"/>
      <c r="K14" s="1512">
        <f>12126.54-5589.67</f>
        <v>6536.8700000000008</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13号楼</v>
      </c>
      <c r="AY14" s="125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986"/>
      <c r="B15" s="986"/>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986"/>
      <c r="B16" s="98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986"/>
      <c r="B17" s="98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1128</v>
      </c>
      <c r="B1" s="1069"/>
      <c r="C1" s="1069"/>
      <c r="D1" s="1069"/>
      <c r="E1" s="1069"/>
      <c r="F1" s="1069"/>
      <c r="G1" s="1069"/>
      <c r="H1" s="1069"/>
      <c r="I1" s="1069"/>
      <c r="J1" s="1069"/>
      <c r="K1" s="1069"/>
      <c r="L1" s="1069"/>
      <c r="M1" s="1069"/>
      <c r="N1" s="1069"/>
      <c r="O1" s="1069"/>
      <c r="P1" s="1069"/>
    </row>
    <row r="2" spans="1:16" ht="14.4">
      <c r="A2" s="3255" t="s">
        <v>1129</v>
      </c>
      <c r="B2" s="3255"/>
      <c r="C2" s="3255"/>
      <c r="D2" s="746" t="s">
        <v>1105</v>
      </c>
      <c r="E2" s="1521" t="s">
        <v>1106</v>
      </c>
      <c r="F2" s="2437"/>
      <c r="G2" s="2430"/>
      <c r="H2" s="2431"/>
      <c r="I2" s="2144" t="s">
        <v>1130</v>
      </c>
      <c r="J2" s="2437"/>
      <c r="K2" s="2437"/>
      <c r="L2" s="2437"/>
      <c r="M2" s="2437"/>
      <c r="N2" s="2438"/>
      <c r="O2" s="2437"/>
      <c r="P2" s="2437"/>
    </row>
    <row r="3" spans="1:16" ht="15" thickBot="1">
      <c r="A3" s="3256" t="s">
        <v>1103</v>
      </c>
      <c r="B3" s="3256"/>
      <c r="C3" s="3256"/>
      <c r="D3" s="41">
        <f>'数据-基础表'!AY6</f>
        <v>17362.38</v>
      </c>
      <c r="E3" s="41">
        <f>'数据-基础表'!AZ5</f>
        <v>36780.86</v>
      </c>
      <c r="F3" s="2437"/>
      <c r="G3" s="42"/>
      <c r="H3" s="43" t="s">
        <v>1104</v>
      </c>
      <c r="I3" s="800">
        <f>ROUND('数据-基础表'!B3/'数据-基础表'!A3,2)</f>
        <v>2.12</v>
      </c>
      <c r="J3" s="2437"/>
      <c r="K3" s="2437"/>
      <c r="L3" s="2437"/>
      <c r="M3" s="2437"/>
      <c r="N3" s="2438"/>
      <c r="O3" s="2437"/>
      <c r="P3" s="2437"/>
    </row>
    <row r="4" spans="1:16" ht="14.4">
      <c r="A4" s="3257"/>
      <c r="B4" s="3258"/>
      <c r="C4" s="3259"/>
      <c r="D4" s="1522" t="s">
        <v>1105</v>
      </c>
      <c r="E4" s="1523" t="s">
        <v>1106</v>
      </c>
      <c r="F4" s="2437"/>
      <c r="G4" s="2432" t="s">
        <v>1131</v>
      </c>
      <c r="H4" s="43" t="s">
        <v>1111</v>
      </c>
      <c r="I4" s="800">
        <f>ROUND(SUMIF('数据-基础表'!I9:AS9,"地上",'数据-基础表'!I5:AS5)/'数据-基础表'!A3,2)</f>
        <v>1.74</v>
      </c>
      <c r="J4" s="2437"/>
      <c r="K4" s="2437"/>
      <c r="L4" s="2437"/>
      <c r="M4" s="2437"/>
      <c r="N4" s="2438"/>
      <c r="O4" s="2437"/>
      <c r="P4" s="2437"/>
    </row>
    <row r="5" spans="1:16" ht="14.4">
      <c r="A5" s="42" t="s">
        <v>1107</v>
      </c>
      <c r="B5" s="3260" t="s">
        <v>1108</v>
      </c>
      <c r="C5" s="3260"/>
      <c r="D5" s="43">
        <f>ROUND($D$3*E5/$E$3,2)</f>
        <v>0</v>
      </c>
      <c r="E5" s="44">
        <f>SUMIF('数据-基础表'!$11:$11,"住宅",'数据-基础表'!$5:$5)</f>
        <v>0</v>
      </c>
      <c r="F5" s="2437"/>
      <c r="G5" s="42"/>
      <c r="H5" s="43" t="s">
        <v>1104</v>
      </c>
      <c r="I5" s="800">
        <f>ROUND(E31/D31,2)</f>
        <v>2.12</v>
      </c>
      <c r="J5" s="2437"/>
      <c r="K5" s="2437"/>
      <c r="L5" s="2437"/>
      <c r="M5" s="2437"/>
      <c r="N5" s="2437"/>
      <c r="O5" s="2437"/>
      <c r="P5" s="2437"/>
    </row>
    <row r="6" spans="1:16" ht="15" thickBot="1">
      <c r="A6" s="1525"/>
      <c r="B6" s="3260" t="s">
        <v>1109</v>
      </c>
      <c r="C6" s="3260"/>
      <c r="D6" s="43">
        <f>ROUND($D$3*E6/$E$3,2)</f>
        <v>17362.38</v>
      </c>
      <c r="E6" s="44">
        <f>E3-E5</f>
        <v>36780.86</v>
      </c>
      <c r="F6" s="2437"/>
      <c r="G6" s="1527" t="s">
        <v>1110</v>
      </c>
      <c r="H6" s="45" t="s">
        <v>1111</v>
      </c>
      <c r="I6" s="2433">
        <f>ROUND(F31/D31,2)</f>
        <v>1.74</v>
      </c>
      <c r="J6" s="2437"/>
      <c r="K6" s="2437"/>
      <c r="L6" s="2437"/>
      <c r="M6" s="2437"/>
      <c r="N6" s="2437"/>
      <c r="O6" s="2437"/>
      <c r="P6" s="2437"/>
    </row>
    <row r="7" spans="1:16" ht="15" thickBot="1">
      <c r="A7" s="3252"/>
      <c r="B7" s="3253"/>
      <c r="C7" s="3254"/>
      <c r="D7" s="1522" t="s">
        <v>1105</v>
      </c>
      <c r="E7" s="1526" t="s">
        <v>1112</v>
      </c>
      <c r="F7" s="2437"/>
      <c r="G7" s="2434" t="s">
        <v>1113</v>
      </c>
      <c r="H7" s="95"/>
      <c r="I7" s="2435"/>
      <c r="J7" s="2437"/>
      <c r="K7" s="2437"/>
      <c r="L7" s="2437"/>
      <c r="M7" s="2437"/>
      <c r="N7" s="2437"/>
      <c r="O7" s="2437"/>
      <c r="P7" s="2437"/>
    </row>
    <row r="8" spans="1:16" ht="14.4">
      <c r="A8" s="42" t="s">
        <v>1114</v>
      </c>
      <c r="B8" s="45" t="s">
        <v>1115</v>
      </c>
      <c r="C8" s="43" t="s">
        <v>1116</v>
      </c>
      <c r="D8" s="43">
        <f t="shared" ref="D8:D15" si="0">ROUND($D$3*E8/$E$3,2)</f>
        <v>14276.65</v>
      </c>
      <c r="E8" s="46">
        <f>SUMIF('数据-基础表'!BB10:BK10,"地上",'数据-基础表'!BB5:BK5)</f>
        <v>30243.989999999998</v>
      </c>
      <c r="F8" s="2437"/>
      <c r="G8" s="2437"/>
      <c r="H8" s="2437"/>
      <c r="I8" s="2437"/>
      <c r="J8" s="2437"/>
      <c r="K8" s="2437"/>
      <c r="L8" s="2437"/>
      <c r="M8" s="2437"/>
      <c r="N8" s="2437"/>
      <c r="O8" s="2437"/>
      <c r="P8" s="2437"/>
    </row>
    <row r="9" spans="1:16" ht="14.4">
      <c r="A9" s="1527"/>
      <c r="B9" s="1528"/>
      <c r="C9" s="43" t="s">
        <v>1117</v>
      </c>
      <c r="D9" s="43">
        <f t="shared" si="0"/>
        <v>0</v>
      </c>
      <c r="E9" s="47">
        <v>0</v>
      </c>
      <c r="F9" s="2437"/>
      <c r="G9" s="2437"/>
      <c r="H9" s="2437"/>
      <c r="I9" s="2437"/>
      <c r="J9" s="2437"/>
      <c r="K9" s="2437"/>
      <c r="L9" s="2437"/>
      <c r="M9" s="2437"/>
      <c r="N9" s="2437"/>
      <c r="O9" s="2437"/>
      <c r="P9" s="2437"/>
    </row>
    <row r="10" spans="1:16" ht="14.4">
      <c r="A10" s="1527"/>
      <c r="B10" s="1528"/>
      <c r="C10" s="43" t="s">
        <v>1126</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7"/>
      <c r="B11" s="1528"/>
      <c r="C11" s="43" t="s">
        <v>1118</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7"/>
      <c r="B12" s="1528"/>
      <c r="C12" s="43" t="s">
        <v>1119</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7"/>
      <c r="B13" s="1528"/>
      <c r="C13" s="43" t="s">
        <v>1120</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7"/>
      <c r="B14" s="1528"/>
      <c r="C14" s="43" t="s">
        <v>1132</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1127</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5"/>
      <c r="B16" s="1528"/>
      <c r="C16" s="45" t="s">
        <v>1121</v>
      </c>
      <c r="D16" s="45">
        <f>SUM(D8:D15)</f>
        <v>14276.65</v>
      </c>
      <c r="E16" s="48">
        <f>SUM(E8:E15)</f>
        <v>30243.989999999998</v>
      </c>
      <c r="F16" s="2437"/>
      <c r="G16" s="2437"/>
      <c r="H16" s="1529" t="s">
        <v>1133</v>
      </c>
      <c r="I16" s="1530"/>
      <c r="J16" s="1069"/>
      <c r="K16" s="3249" t="s">
        <v>1133</v>
      </c>
      <c r="L16" s="3250"/>
      <c r="M16" s="3250"/>
      <c r="N16" s="3250"/>
      <c r="O16" s="3250"/>
      <c r="P16" s="3251"/>
    </row>
    <row r="17" spans="1:19" ht="14.4">
      <c r="A17" s="1531" t="s">
        <v>1134</v>
      </c>
      <c r="B17" s="1532" t="s">
        <v>1135</v>
      </c>
      <c r="C17" s="1533" t="s">
        <v>1136</v>
      </c>
      <c r="D17" s="1534" t="s">
        <v>1124</v>
      </c>
      <c r="E17" s="1535" t="s">
        <v>1125</v>
      </c>
      <c r="F17" s="1536"/>
      <c r="G17" s="1537"/>
      <c r="H17" s="1538" t="s">
        <v>1137</v>
      </c>
      <c r="I17" s="1539" t="s">
        <v>1122</v>
      </c>
      <c r="J17" s="1069"/>
      <c r="K17" s="3246" t="s">
        <v>1138</v>
      </c>
      <c r="L17" s="3247"/>
      <c r="M17" s="3248"/>
      <c r="N17" s="3246" t="s">
        <v>1139</v>
      </c>
      <c r="O17" s="3247"/>
      <c r="P17" s="3248"/>
      <c r="R17" s="767" t="s">
        <v>1140</v>
      </c>
      <c r="S17" s="54"/>
    </row>
    <row r="18" spans="1:19" ht="14.4">
      <c r="A18" s="1527"/>
      <c r="B18" s="1524"/>
      <c r="C18" s="1540"/>
      <c r="D18" s="1541"/>
      <c r="E18" s="1542" t="s">
        <v>1141</v>
      </c>
      <c r="F18" s="1543" t="s">
        <v>1142</v>
      </c>
      <c r="G18" s="1544" t="s">
        <v>1143</v>
      </c>
      <c r="H18" s="977" t="s">
        <v>1144</v>
      </c>
      <c r="I18" s="1545" t="s">
        <v>1145</v>
      </c>
      <c r="J18" s="1069"/>
      <c r="K18" s="977" t="s">
        <v>1146</v>
      </c>
      <c r="L18" s="1546" t="s">
        <v>1147</v>
      </c>
      <c r="M18" s="800" t="s">
        <v>1148</v>
      </c>
      <c r="N18" s="977" t="s">
        <v>1146</v>
      </c>
      <c r="O18" s="1546" t="s">
        <v>1147</v>
      </c>
      <c r="P18" s="800" t="s">
        <v>1148</v>
      </c>
      <c r="R18" s="43" t="s">
        <v>1149</v>
      </c>
      <c r="S18" s="43" t="s">
        <v>1150</v>
      </c>
    </row>
    <row r="19" spans="1:19" ht="14.4">
      <c r="A19" s="1547"/>
      <c r="B19" s="45" t="s">
        <v>1123</v>
      </c>
      <c r="C19" s="3113" t="s">
        <v>3419</v>
      </c>
      <c r="D19" s="43">
        <f>ROUND($D$3*E19/$E$3,2)</f>
        <v>5422.86</v>
      </c>
      <c r="E19" s="51">
        <f t="shared" ref="E19:E26" si="1">SUM(F19:G19)</f>
        <v>11487.92</v>
      </c>
      <c r="F19" s="2555">
        <f>'数据-基础表'!I13</f>
        <v>11487.92</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5422.86</v>
      </c>
      <c r="S19" s="51">
        <f t="shared" si="5"/>
        <v>11487.92</v>
      </c>
    </row>
    <row r="20" spans="1:19" ht="14.4">
      <c r="A20" s="1547"/>
      <c r="B20" s="45" t="s">
        <v>1151</v>
      </c>
      <c r="C20" s="3113" t="s">
        <v>3421</v>
      </c>
      <c r="D20" s="43">
        <f t="shared" ref="D20:D26" si="6">ROUND($D$3*E20/$E$3,2)</f>
        <v>11939.52</v>
      </c>
      <c r="E20" s="51">
        <f t="shared" si="1"/>
        <v>25292.940000000002</v>
      </c>
      <c r="F20" s="2555">
        <f>'数据-基础表'!I14</f>
        <v>18756.07</v>
      </c>
      <c r="G20" s="1241">
        <f>'数据-基础表'!K14</f>
        <v>6536.8700000000008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11939.52</v>
      </c>
      <c r="S20" s="51">
        <f t="shared" si="5"/>
        <v>25292.940000000002</v>
      </c>
    </row>
    <row r="21" spans="1:19" ht="14.4">
      <c r="A21" s="1547"/>
      <c r="B21" s="45" t="s">
        <v>1151</v>
      </c>
      <c r="C21" s="3113"/>
      <c r="D21" s="43">
        <f t="shared" si="6"/>
        <v>0</v>
      </c>
      <c r="E21" s="51">
        <f t="shared" si="1"/>
        <v>0</v>
      </c>
      <c r="F21" s="2555"/>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1151</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1151</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1151</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1151</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1152</v>
      </c>
      <c r="D27" s="1070">
        <f>SUM(D19:D26)</f>
        <v>17362.38</v>
      </c>
      <c r="E27" s="1071">
        <f>IF(SUM(E19:E26)='数据-基础表'!BA5,SUM(E19:E26),IF(F27="地上面积有误","面积有误","地下面积有误"))</f>
        <v>36780.86</v>
      </c>
      <c r="F27" s="1070">
        <f>IF(SUM(F19:F26)=E8,SUM(F19:F26),"地上面积有误")</f>
        <v>30243.989999999998</v>
      </c>
      <c r="G27" s="1072">
        <f>SUM(G19:G26)</f>
        <v>6536.8700000000008</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5">
        <f>IF(SUM(R19:R26)=$D$3,SUM(R19:R26),SUM(R19:R26)&amp;"误差"&amp;ROUND(SUM(R19:R26)-$D$3,2))</f>
        <v>17362.38</v>
      </c>
      <c r="S27" s="43">
        <f>IF(SUM(S19:S26)=$E$3,SUM(S19:S26),SUM(S19:S26)&amp;"误差"&amp;ROUND(SUM(S19:S26)-E3,2))</f>
        <v>36780.86</v>
      </c>
    </row>
    <row r="28" spans="1:19" ht="14.4">
      <c r="A28" s="1547"/>
      <c r="B28" s="45" t="s">
        <v>1153</v>
      </c>
      <c r="C28" s="54" t="s">
        <v>1154</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7"/>
      <c r="B29" s="45" t="s">
        <v>1153</v>
      </c>
      <c r="C29" s="1553" t="s">
        <v>1155</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7"/>
      <c r="B30" s="45"/>
      <c r="C30" s="1554" t="s">
        <v>1152</v>
      </c>
      <c r="D30" s="1070">
        <f>SUM(D28:D29)</f>
        <v>0</v>
      </c>
      <c r="E30" s="1070">
        <f>SUM(E28:E29)</f>
        <v>0</v>
      </c>
      <c r="F30" s="1070">
        <f>SUM(F28:F29)</f>
        <v>0</v>
      </c>
      <c r="G30" s="1072">
        <f>SUM(G28:G29)</f>
        <v>0</v>
      </c>
      <c r="H30" s="2437"/>
      <c r="I30" s="2437"/>
      <c r="J30" s="2437"/>
      <c r="K30" s="2437"/>
      <c r="L30" s="2437"/>
      <c r="M30" s="2437"/>
      <c r="N30" s="2437"/>
      <c r="O30" s="2437"/>
      <c r="P30" s="2437"/>
    </row>
    <row r="31" spans="1:19" ht="15" thickBot="1">
      <c r="A31" s="1555"/>
      <c r="B31" s="96"/>
      <c r="C31" s="783" t="s">
        <v>1156</v>
      </c>
      <c r="D31" s="641">
        <f>D27+D30</f>
        <v>17362.38</v>
      </c>
      <c r="E31" s="641">
        <f>E27+E30</f>
        <v>36780.86</v>
      </c>
      <c r="F31" s="642">
        <f>F27+F30</f>
        <v>30243.989999999998</v>
      </c>
      <c r="G31" s="643">
        <f>G27+G30</f>
        <v>6536.8700000000008</v>
      </c>
      <c r="H31" s="2437"/>
      <c r="I31" s="2437"/>
      <c r="J31" s="2437"/>
      <c r="K31" s="2437"/>
      <c r="L31" s="2437"/>
      <c r="M31" s="2437"/>
      <c r="N31" s="2437"/>
      <c r="O31" s="2437"/>
      <c r="P31" s="2437"/>
    </row>
    <row r="32" spans="1:19" ht="14.4">
      <c r="A32" s="1524"/>
      <c r="B32" s="1524" t="s">
        <v>1157</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H20" sqref="AH20"/>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1158</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 thickBot="1">
      <c r="A2" s="1560" t="s">
        <v>1159</v>
      </c>
      <c r="B2" s="981">
        <f>项目基本情况!D3</f>
        <v>45775</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1160</v>
      </c>
      <c r="B4" s="1562"/>
      <c r="C4" s="1563"/>
      <c r="D4" s="1564"/>
      <c r="E4" s="1563" t="s">
        <v>1161</v>
      </c>
      <c r="F4" s="1563"/>
      <c r="G4" s="1563"/>
      <c r="H4" s="1563"/>
      <c r="I4" s="1563"/>
      <c r="J4" s="1565"/>
      <c r="K4" s="1566"/>
      <c r="L4" s="1567"/>
      <c r="M4" s="1563"/>
      <c r="N4" s="1563" t="s">
        <v>1162</v>
      </c>
      <c r="O4" s="1563"/>
      <c r="P4" s="1563"/>
      <c r="Q4" s="1563"/>
      <c r="R4" s="1563"/>
      <c r="S4" s="1565"/>
      <c r="T4" s="2436" t="str">
        <f>'数据-汇总表'!I17</f>
        <v>按面积比例</v>
      </c>
      <c r="U4" s="1562" t="s">
        <v>1163</v>
      </c>
      <c r="V4" s="1563"/>
      <c r="W4" s="1563"/>
      <c r="X4" s="1563"/>
      <c r="Y4" s="1565"/>
      <c r="Z4" s="1533" t="s">
        <v>1164</v>
      </c>
      <c r="AA4" s="1533"/>
      <c r="AB4" s="1533"/>
      <c r="AC4" s="1533"/>
      <c r="AD4" s="1533"/>
      <c r="AE4" s="1531" t="s">
        <v>1165</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1166</v>
      </c>
      <c r="B5" s="1570" t="s">
        <v>1167</v>
      </c>
      <c r="C5" s="1571" t="s">
        <v>1168</v>
      </c>
      <c r="D5" s="1572" t="s">
        <v>1169</v>
      </c>
      <c r="E5" s="504" t="s">
        <v>1170</v>
      </c>
      <c r="F5" s="1573" t="s">
        <v>1171</v>
      </c>
      <c r="G5" s="504" t="s">
        <v>1172</v>
      </c>
      <c r="H5" s="504" t="s">
        <v>1173</v>
      </c>
      <c r="I5" s="504" t="s">
        <v>1174</v>
      </c>
      <c r="J5" s="1245" t="s">
        <v>1175</v>
      </c>
      <c r="K5" s="1574" t="s">
        <v>1176</v>
      </c>
      <c r="L5" s="1575" t="s">
        <v>1177</v>
      </c>
      <c r="M5" s="1576" t="s">
        <v>1178</v>
      </c>
      <c r="N5" s="1577" t="s">
        <v>3422</v>
      </c>
      <c r="O5" s="1575" t="s">
        <v>1179</v>
      </c>
      <c r="P5" s="1578" t="s">
        <v>1180</v>
      </c>
      <c r="Q5" s="58" t="s">
        <v>1181</v>
      </c>
      <c r="R5" s="1579" t="s">
        <v>1182</v>
      </c>
      <c r="S5" s="1580" t="s">
        <v>1183</v>
      </c>
      <c r="T5" s="1581" t="s">
        <v>1184</v>
      </c>
      <c r="U5" s="982" t="s">
        <v>1185</v>
      </c>
      <c r="V5" s="504" t="s">
        <v>1186</v>
      </c>
      <c r="W5" s="504" t="s">
        <v>1187</v>
      </c>
      <c r="X5" s="60"/>
      <c r="Y5" s="59" t="s">
        <v>1188</v>
      </c>
      <c r="Z5" s="1099" t="s">
        <v>1185</v>
      </c>
      <c r="AA5" s="504" t="s">
        <v>1186</v>
      </c>
      <c r="AB5" s="504" t="s">
        <v>1187</v>
      </c>
      <c r="AC5" s="60"/>
      <c r="AD5" s="60" t="s">
        <v>1188</v>
      </c>
      <c r="AE5" s="982" t="s">
        <v>1189</v>
      </c>
      <c r="AF5" s="504" t="s">
        <v>1190</v>
      </c>
      <c r="AG5" s="59" t="s">
        <v>1191</v>
      </c>
      <c r="AH5" s="982" t="s">
        <v>1192</v>
      </c>
      <c r="AI5" s="1099" t="s">
        <v>1193</v>
      </c>
      <c r="AJ5" s="1099" t="s">
        <v>1194</v>
      </c>
      <c r="AK5" s="504" t="s">
        <v>1195</v>
      </c>
      <c r="AL5" s="504" t="s">
        <v>1196</v>
      </c>
      <c r="AM5" s="59" t="s">
        <v>1197</v>
      </c>
      <c r="AN5" s="1582" t="s">
        <v>1198</v>
      </c>
      <c r="AO5" s="1452" t="s">
        <v>1199</v>
      </c>
      <c r="AP5" s="965" t="s">
        <v>1200</v>
      </c>
      <c r="AQ5" s="1583" t="s">
        <v>1201</v>
      </c>
      <c r="AR5" s="1583"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12号楼</v>
      </c>
      <c r="B6" s="1585" t="str">
        <f>IF(A6=0,"","经营性")</f>
        <v>经营性</v>
      </c>
      <c r="C6" s="1586" t="s">
        <v>3404</v>
      </c>
      <c r="D6" s="803">
        <f>SUMIF(项目基本情况!C$12:I$12,C6,项目基本情况!C$14:I$14)</f>
        <v>50</v>
      </c>
      <c r="E6" s="802">
        <f>IF(B6="","",SUMIF(项目基本情况!C$12:I$12,C6,项目基本情况!C$13:I$13))</f>
        <v>55121</v>
      </c>
      <c r="F6" s="61">
        <f>SUMIF(项目基本情况!C$12:I$12,C6,项目基本情况!C$15:I$15)</f>
        <v>25.6</v>
      </c>
      <c r="G6" s="62">
        <f>IF(ISERROR(ROUND(POWER(1+H6,D6-F6)*(POWER(1+H6,F6)-1)/(POWER(1+H6,D6)-1),3)),0,ROUND(POWER(1+H6,D6-F6)*(POWER(1+H6,F6)-1)/(POWER(1+H6,D6)-1),3))</f>
        <v>0.76</v>
      </c>
      <c r="H6" s="689">
        <v>4.4999999999999998E-2</v>
      </c>
      <c r="I6" s="3166">
        <v>0.05</v>
      </c>
      <c r="J6" s="63">
        <v>7.0000000000000007E-2</v>
      </c>
      <c r="K6" s="967">
        <f>SUMIF('数据-汇总表'!C$19:C$33,A6,'数据-汇总表'!E$19:E$33)</f>
        <v>11487.92</v>
      </c>
      <c r="L6" s="690">
        <v>6000</v>
      </c>
      <c r="M6" s="64">
        <f t="shared" ref="M6:M14" si="0">ROUND(K6*L6/10000,0)</f>
        <v>6893</v>
      </c>
      <c r="N6" s="688">
        <f>N20</f>
        <v>0.85</v>
      </c>
      <c r="O6" s="64" t="str">
        <f>IF($N$5="成新度","——",ROUND(M6*N6,0))</f>
        <v>——</v>
      </c>
      <c r="P6" s="65" t="str">
        <f>IF($N$5="成新度","——",M6-O6)</f>
        <v>——</v>
      </c>
      <c r="Q6" s="691">
        <v>0.12</v>
      </c>
      <c r="R6" s="66">
        <f ca="1">SUMIF('数据-汇总表'!C$19:C$33,A6,'数据-汇总表'!R$19:R$27)</f>
        <v>5422.86</v>
      </c>
      <c r="S6" s="49">
        <f>IF('数据-汇总表'!$I$17="按面积比例",SUMIF('数据-汇总表'!C$19:C$33,A6,'数据-汇总表'!K$19:K$33),SUMIF('数据-汇总表'!C$19:C$33,A6,'数据-汇总表'!N$19:N$33))</f>
        <v>0</v>
      </c>
      <c r="T6" s="1090">
        <f>ROUND($L$14*S6/10000,0)</f>
        <v>0</v>
      </c>
      <c r="U6" s="3124">
        <v>4</v>
      </c>
      <c r="V6" s="67">
        <v>0.02</v>
      </c>
      <c r="W6" s="67">
        <v>0.1</v>
      </c>
      <c r="X6" s="976"/>
      <c r="Y6" s="68">
        <f>N6</f>
        <v>0.85</v>
      </c>
      <c r="Z6" s="69"/>
      <c r="AA6" s="63"/>
      <c r="AB6" s="63"/>
      <c r="AC6" s="976"/>
      <c r="AD6" s="70"/>
      <c r="AE6" s="977">
        <f ca="1">IF(AN6="",0,SUMIF(INDIRECT("'"&amp;AN6&amp;"'"&amp;"!E:E"),$AE$5,INDIRECT("'"&amp;AN6&amp;"'"&amp;"!F:F")))</f>
        <v>25.6</v>
      </c>
      <c r="AF6" s="74"/>
      <c r="AG6" s="130">
        <f>IF(AF6="",0,AE6-AF6)</f>
        <v>0</v>
      </c>
      <c r="AH6" s="71"/>
      <c r="AI6" s="73">
        <v>365</v>
      </c>
      <c r="AJ6" s="74"/>
      <c r="AK6" s="75">
        <v>2E-3</v>
      </c>
      <c r="AL6" s="76">
        <v>1E-3</v>
      </c>
      <c r="AM6" s="77">
        <v>5.0000000000000001E-3</v>
      </c>
      <c r="AN6" s="1587" t="s">
        <v>3442</v>
      </c>
      <c r="AO6" s="50">
        <f ca="1">SUMIF(INDIRECT("'"&amp;AN6&amp;"'"&amp;"!A:A"),"总价",INDIRECT("'"&amp;AN6&amp;"'"&amp;"!B:B"))</f>
        <v>21997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13号楼</v>
      </c>
      <c r="B7" s="1585" t="str">
        <f t="shared" ref="B7:B13" si="1">IF(A7=0,"","经营性")</f>
        <v>经营性</v>
      </c>
      <c r="C7" s="1586" t="s">
        <v>3404</v>
      </c>
      <c r="D7" s="803">
        <f>SUMIF(项目基本情况!C$12:I$12,C7,项目基本情况!C$14:I$14)</f>
        <v>50</v>
      </c>
      <c r="E7" s="802">
        <f>IF(B7="","",SUMIF(项目基本情况!C$12:I$12,C7,项目基本情况!C$13:I$13))</f>
        <v>55121</v>
      </c>
      <c r="F7" s="61">
        <f>SUMIF(项目基本情况!C$12:I$12,C7,项目基本情况!C$15:I$15)</f>
        <v>25.6</v>
      </c>
      <c r="G7" s="62">
        <f t="shared" ref="G7:G11" si="2">IF(ISERROR(ROUND(POWER(1+H7,D7-F7)*(POWER(1+H7,F7)-1)/(POWER(1+H7,D7)-1),3)),0,ROUND(POWER(1+H7,D7-F7)*(POWER(1+H7,F7)-1)/(POWER(1+H7,D7)-1),3))</f>
        <v>0.76</v>
      </c>
      <c r="H7" s="689">
        <f>H6</f>
        <v>4.4999999999999998E-2</v>
      </c>
      <c r="I7" s="3166">
        <f>I6</f>
        <v>0.05</v>
      </c>
      <c r="J7" s="63">
        <f>J6</f>
        <v>7.0000000000000007E-2</v>
      </c>
      <c r="K7" s="967">
        <f>SUMIF('数据-汇总表'!C$19:C$33,A7,'数据-汇总表'!E$19:E$33)</f>
        <v>25292.940000000002</v>
      </c>
      <c r="L7" s="690">
        <f>L6</f>
        <v>6000</v>
      </c>
      <c r="M7" s="64">
        <f t="shared" si="0"/>
        <v>15176</v>
      </c>
      <c r="N7" s="688">
        <f>N6</f>
        <v>0.85</v>
      </c>
      <c r="O7" s="64" t="str">
        <f t="shared" ref="O7:O14" si="3">IF($N$5="成新度","——",ROUND(M7*N7,0))</f>
        <v>——</v>
      </c>
      <c r="P7" s="65" t="str">
        <f t="shared" ref="P7:P14" si="4">IF($N$5="成新度","——",M7-O7)</f>
        <v>——</v>
      </c>
      <c r="Q7" s="691">
        <v>0.1</v>
      </c>
      <c r="R7" s="66">
        <f ca="1">SUMIF('数据-汇总表'!C$19:C$33,A7,'数据-汇总表'!R$19:R$27)</f>
        <v>11939.52</v>
      </c>
      <c r="S7" s="49">
        <f>IF('数据-汇总表'!$I$17="按面积比例",SUMIF('数据-汇总表'!C$19:C$33,A7,'数据-汇总表'!K$19:K$33),SUMIF('数据-汇总表'!C$19:C$33,A7,'数据-汇总表'!N$19:N$33))</f>
        <v>0</v>
      </c>
      <c r="T7" s="1090">
        <f t="shared" ref="T7:T13" si="5">ROUND($L$14*S7/10000,0)</f>
        <v>0</v>
      </c>
      <c r="U7" s="3124">
        <v>3.1</v>
      </c>
      <c r="V7" s="67">
        <f>V6</f>
        <v>0.02</v>
      </c>
      <c r="W7" s="67">
        <f>W6</f>
        <v>0.1</v>
      </c>
      <c r="X7" s="976"/>
      <c r="Y7" s="68">
        <f>N7</f>
        <v>0.85</v>
      </c>
      <c r="Z7" s="69"/>
      <c r="AA7" s="63"/>
      <c r="AB7" s="63"/>
      <c r="AC7" s="976"/>
      <c r="AD7" s="70"/>
      <c r="AE7" s="977">
        <f t="shared" ref="AE7:AE13" ca="1" si="6">IF(AN7="",0,SUMIF(INDIRECT("'"&amp;AN7&amp;"'"&amp;"!E:E"),$AE$5,INDIRECT("'"&amp;AN7&amp;"'"&amp;"!F:F")))</f>
        <v>25.6</v>
      </c>
      <c r="AF7" s="74"/>
      <c r="AG7" s="130">
        <f t="shared" ref="AG7:AG13" si="7">IF(AF7="",0,AE7-AF7)</f>
        <v>0</v>
      </c>
      <c r="AH7" s="71"/>
      <c r="AI7" s="73">
        <v>365</v>
      </c>
      <c r="AJ7" s="74"/>
      <c r="AK7" s="75">
        <f>AK6</f>
        <v>2E-3</v>
      </c>
      <c r="AL7" s="76">
        <f>AL6</f>
        <v>1E-3</v>
      </c>
      <c r="AM7" s="77">
        <f>AM6</f>
        <v>5.0000000000000001E-3</v>
      </c>
      <c r="AN7" s="1587" t="s">
        <v>3440</v>
      </c>
      <c r="AO7" s="50">
        <f t="shared" ref="AO7:AO13" ca="1" si="8">SUMIF(INDIRECT("'"&amp;AN7&amp;"'"&amp;"!A:A"),"总价",INDIRECT("'"&amp;AN7&amp;"'"&amp;"!B:B"))</f>
        <v>37582</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6"/>
      <c r="Y8" s="68"/>
      <c r="Z8" s="69"/>
      <c r="AA8" s="63"/>
      <c r="AB8" s="63"/>
      <c r="AC8" s="976"/>
      <c r="AD8" s="70"/>
      <c r="AE8" s="977">
        <f t="shared" ca="1" si="6"/>
        <v>0</v>
      </c>
      <c r="AF8" s="74"/>
      <c r="AG8" s="130">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6"/>
      <c r="Y9" s="68"/>
      <c r="Z9" s="69"/>
      <c r="AA9" s="63"/>
      <c r="AB9" s="63"/>
      <c r="AC9" s="976"/>
      <c r="AD9" s="70"/>
      <c r="AE9" s="977">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6"/>
      <c r="Y10" s="68"/>
      <c r="Z10" s="69"/>
      <c r="AA10" s="63"/>
      <c r="AB10" s="63"/>
      <c r="AC10" s="976"/>
      <c r="AD10" s="70"/>
      <c r="AE10" s="977">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6"/>
      <c r="Y11" s="68"/>
      <c r="Z11" s="81"/>
      <c r="AA11" s="63"/>
      <c r="AB11" s="63"/>
      <c r="AC11" s="976"/>
      <c r="AD11" s="70"/>
      <c r="AE11" s="977">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6"/>
      <c r="Y12" s="68"/>
      <c r="Z12" s="81"/>
      <c r="AA12" s="63"/>
      <c r="AB12" s="63"/>
      <c r="AC12" s="976"/>
      <c r="AD12" s="70"/>
      <c r="AE12" s="977">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6"/>
      <c r="Y13" s="68"/>
      <c r="Z13" s="69"/>
      <c r="AA13" s="63"/>
      <c r="AB13" s="63"/>
      <c r="AC13" s="976"/>
      <c r="AD13" s="70"/>
      <c r="AE13" s="977">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1203</v>
      </c>
      <c r="B14" s="1585" t="s">
        <v>1204</v>
      </c>
      <c r="C14" s="1590" t="s">
        <v>1203</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5"/>
      <c r="V14" s="972"/>
      <c r="W14" s="972"/>
      <c r="X14" s="973"/>
      <c r="Y14" s="974"/>
      <c r="Z14" s="54"/>
      <c r="AA14" s="975"/>
      <c r="AB14" s="975"/>
      <c r="AC14" s="976"/>
      <c r="AD14" s="973"/>
      <c r="AE14" s="977"/>
      <c r="AF14" s="50"/>
      <c r="AG14" s="130"/>
      <c r="AH14" s="977"/>
      <c r="AI14" s="1264"/>
      <c r="AJ14" s="50"/>
      <c r="AK14" s="978"/>
      <c r="AL14" s="979"/>
      <c r="AM14" s="980"/>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1205</v>
      </c>
      <c r="B15" s="1585" t="s">
        <v>1204</v>
      </c>
      <c r="C15" s="1590" t="s">
        <v>1206</v>
      </c>
      <c r="D15" s="803"/>
      <c r="E15" s="802"/>
      <c r="F15" s="61"/>
      <c r="G15" s="62"/>
      <c r="H15" s="966"/>
      <c r="I15" s="966"/>
      <c r="J15" s="966"/>
      <c r="K15" s="967">
        <f>SUMIF('数据-汇总表'!C$19:C$33,A15,'数据-汇总表'!E$19:E$33)</f>
        <v>0</v>
      </c>
      <c r="L15" s="968"/>
      <c r="M15" s="64"/>
      <c r="N15" s="969"/>
      <c r="O15" s="64"/>
      <c r="P15" s="65"/>
      <c r="Q15" s="970"/>
      <c r="R15" s="66"/>
      <c r="S15" s="49"/>
      <c r="T15" s="1090"/>
      <c r="U15" s="635"/>
      <c r="V15" s="972"/>
      <c r="W15" s="972"/>
      <c r="X15" s="973"/>
      <c r="Y15" s="974"/>
      <c r="Z15" s="54"/>
      <c r="AA15" s="975"/>
      <c r="AB15" s="975"/>
      <c r="AC15" s="976"/>
      <c r="AD15" s="973"/>
      <c r="AE15" s="977"/>
      <c r="AF15" s="50"/>
      <c r="AG15" s="130"/>
      <c r="AH15" s="977"/>
      <c r="AI15" s="1264"/>
      <c r="AJ15" s="50"/>
      <c r="AK15" s="978"/>
      <c r="AL15" s="979"/>
      <c r="AM15" s="980"/>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1207</v>
      </c>
      <c r="B16" s="82"/>
      <c r="C16" s="781"/>
      <c r="D16" s="1592"/>
      <c r="E16" s="82"/>
      <c r="F16" s="82"/>
      <c r="G16" s="83">
        <f>ROUND(SUMPRODUCT(G6:G13,K6:K13)/SUMPRODUCT((G6:G13&gt;0)*(K6:K13)),3)</f>
        <v>0.76</v>
      </c>
      <c r="H16" s="84">
        <f>ROUND(SUMPRODUCT(H6:H13,K6:K13)/SUMPRODUCT((H6:H13&gt;0)*(K6:K13)),3)</f>
        <v>4.4999999999999998E-2</v>
      </c>
      <c r="I16" s="85"/>
      <c r="J16" s="85"/>
      <c r="K16" s="86">
        <f>SUM(K6:K15)</f>
        <v>36780.86</v>
      </c>
      <c r="L16" s="87">
        <f>ROUND(M16*10000/SUM(K6:K14),0)</f>
        <v>6000</v>
      </c>
      <c r="M16" s="87">
        <f>SUM(M6:M14)</f>
        <v>22069</v>
      </c>
      <c r="N16" s="88">
        <f>ROUND(SUMPRODUCT(M6:M14,N6:N14)/M16,3)</f>
        <v>0.85</v>
      </c>
      <c r="O16" s="87">
        <f>SUM(O6:O14)</f>
        <v>0</v>
      </c>
      <c r="P16" s="87">
        <f>SUM(P6:P14)</f>
        <v>0</v>
      </c>
      <c r="Q16" s="89">
        <f>ROUND(SUMPRODUCT(Q6:Q13,K6:K13)/SUMPRODUCT((Q6:Q13&gt;0)*(K6:K13)),2)</f>
        <v>0.11</v>
      </c>
      <c r="R16" s="971">
        <f ca="1">SUM(R6:R13)</f>
        <v>17362.38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7"/>
      <c r="D18" s="2450"/>
      <c r="E18" s="2437"/>
      <c r="F18" s="2437"/>
      <c r="G18" s="2437"/>
      <c r="H18" s="2437"/>
      <c r="I18" s="2437"/>
      <c r="J18" s="2437"/>
      <c r="K18" s="2448"/>
      <c r="L18" s="2448"/>
      <c r="M18" s="3161" t="s">
        <v>3423</v>
      </c>
      <c r="N18" s="2447">
        <f>ROUND(1-(2025-2015)/60,2)</f>
        <v>0.83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4" t="s">
        <v>1209</v>
      </c>
      <c r="B19" s="97">
        <v>0</v>
      </c>
      <c r="C19" s="2558" t="s">
        <v>2299</v>
      </c>
      <c r="D19" s="2450"/>
      <c r="E19" s="2437"/>
      <c r="F19" s="2437"/>
      <c r="G19" s="2437"/>
      <c r="H19" s="2437"/>
      <c r="I19" s="2437"/>
      <c r="J19" s="2437"/>
      <c r="K19" s="2448"/>
      <c r="L19" s="2448"/>
      <c r="M19" s="3161" t="s">
        <v>3424</v>
      </c>
      <c r="N19" s="2447">
        <v>0.87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5" t="s">
        <v>1210</v>
      </c>
      <c r="B20" s="98">
        <v>2</v>
      </c>
      <c r="C20" s="2559" t="s">
        <v>2297</v>
      </c>
      <c r="D20" s="2450"/>
      <c r="E20" s="2437"/>
      <c r="F20" s="2437"/>
      <c r="G20" s="2437"/>
      <c r="H20" s="2437"/>
      <c r="I20" s="2437"/>
      <c r="J20" s="2437"/>
      <c r="K20" s="2448"/>
      <c r="L20" s="2448"/>
      <c r="M20" s="2447"/>
      <c r="N20" s="2447">
        <f>ROUND((N18+N19)/2,2)</f>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6" t="s">
        <v>1211</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5" t="s">
        <v>1212</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6" t="s">
        <v>1213</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1214</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1215</v>
      </c>
      <c r="B26" s="1598" t="s">
        <v>1216</v>
      </c>
      <c r="C26" s="2451" t="s">
        <v>1217</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599" t="s">
        <v>1218</v>
      </c>
      <c r="B27" s="101"/>
      <c r="C27" s="2560" t="s">
        <v>2301</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0" t="s">
        <v>1219</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1" t="s">
        <v>1220</v>
      </c>
      <c r="B29" s="105">
        <f ca="1">成本法!C10</f>
        <v>736</v>
      </c>
      <c r="C29" s="2561"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2" t="s">
        <v>1221</v>
      </c>
      <c r="B30" s="636">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0" t="s">
        <v>1222</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3" t="s">
        <v>1223</v>
      </c>
      <c r="B32" s="637">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599" t="s">
        <v>1224</v>
      </c>
      <c r="B33" s="638">
        <v>0.05</v>
      </c>
      <c r="C33" s="2562" t="s">
        <v>3380</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0" t="s">
        <v>1225</v>
      </c>
      <c r="B34" s="106">
        <v>0</v>
      </c>
      <c r="C34" s="2562" t="s">
        <v>2292</v>
      </c>
      <c r="D34" s="2458" t="s">
        <v>2298</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0" t="s">
        <v>1226</v>
      </c>
      <c r="B35" s="103">
        <v>200</v>
      </c>
      <c r="C35" s="2562"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1227</v>
      </c>
      <c r="B36" s="107">
        <v>0.03</v>
      </c>
      <c r="C36" s="2562" t="s">
        <v>3398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2" t="s">
        <v>1228</v>
      </c>
      <c r="B37" s="108">
        <v>0.02</v>
      </c>
      <c r="C37" s="2562" t="s">
        <v>3381</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0" t="s">
        <v>1229</v>
      </c>
      <c r="B38" s="106">
        <v>0.02</v>
      </c>
      <c r="C38" s="2562" t="s">
        <v>3382</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3" t="s">
        <v>1230</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1" t="s">
        <v>2307</v>
      </c>
      <c r="B40" s="1013">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599" t="s">
        <v>1231</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4" t="s">
        <v>1232</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4" t="s">
        <v>1233</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5" t="s">
        <v>1234</v>
      </c>
      <c r="B44" s="112">
        <v>0.05</v>
      </c>
      <c r="C44" s="2562" t="s">
        <v>3383</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5" t="s">
        <v>1235</v>
      </c>
      <c r="B45" s="110">
        <v>0.03</v>
      </c>
      <c r="C45" s="2561" t="s">
        <v>2294</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5" t="s">
        <v>1236</v>
      </c>
      <c r="B46" s="110">
        <v>0.02</v>
      </c>
      <c r="C46" s="2561" t="s">
        <v>2295</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1237</v>
      </c>
      <c r="B47" s="113">
        <v>0</v>
      </c>
      <c r="C47" s="2564" t="s">
        <v>2302</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7" t="s">
        <v>1238</v>
      </c>
      <c r="B48" s="114">
        <v>0.03</v>
      </c>
      <c r="C48" s="2561" t="s">
        <v>2294</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1239</v>
      </c>
      <c r="B49" s="110">
        <v>5.0000000000000001E-4</v>
      </c>
      <c r="C49" s="2561" t="s">
        <v>2296</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8" t="s">
        <v>1240</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1241</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8" t="s">
        <v>1242</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0" t="s">
        <v>1243</v>
      </c>
      <c r="B53" s="1609" t="s">
        <v>29</v>
      </c>
      <c r="C53" s="2438" t="s">
        <v>1244</v>
      </c>
      <c r="D53" s="2563" t="s">
        <v>2300</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0" t="s">
        <v>1245</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0" t="s">
        <v>1246</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0" t="s">
        <v>1247</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0" t="s">
        <v>1248</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0" t="s">
        <v>1249</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0" t="s">
        <v>1250</v>
      </c>
      <c r="B59" s="72">
        <f>C59</f>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0" t="s">
        <v>1251</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0" t="s">
        <v>1252</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0" t="s">
        <v>1253</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1254</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49" customWidth="1"/>
    <col min="19" max="29" width="9" style="749"/>
    <col min="30" max="16384" width="9" style="1520"/>
  </cols>
  <sheetData>
    <row r="1" spans="1:29" s="2257" customFormat="1" ht="18" thickBot="1">
      <c r="A1" s="3261" t="s">
        <v>2283</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2278</v>
      </c>
      <c r="D2" s="1593"/>
      <c r="E2" s="2258"/>
      <c r="F2" s="2261"/>
      <c r="G2" s="2260" t="s">
        <v>2279</v>
      </c>
      <c r="H2" s="749"/>
      <c r="I2" s="749"/>
      <c r="J2" s="749"/>
      <c r="K2" s="749"/>
      <c r="L2" s="749"/>
      <c r="M2" s="749"/>
      <c r="N2" s="749"/>
      <c r="O2" s="749"/>
      <c r="P2" s="749"/>
      <c r="Q2" s="749"/>
    </row>
    <row r="3" spans="1:29" ht="48">
      <c r="A3" s="2245" t="s">
        <v>2280</v>
      </c>
      <c r="B3" s="2262" t="s">
        <v>2249</v>
      </c>
      <c r="C3" s="2263" t="s">
        <v>2281</v>
      </c>
      <c r="D3" s="2264"/>
      <c r="E3" s="2246" t="s">
        <v>2280</v>
      </c>
      <c r="F3" s="2265" t="s">
        <v>2250</v>
      </c>
      <c r="G3" s="2266" t="s">
        <v>2282</v>
      </c>
      <c r="H3" s="749"/>
      <c r="I3" s="749"/>
      <c r="J3" s="749"/>
      <c r="K3" s="749"/>
      <c r="L3" s="749"/>
      <c r="M3" s="749"/>
      <c r="N3" s="749"/>
      <c r="O3" s="749"/>
      <c r="P3" s="749"/>
      <c r="Q3" s="749"/>
    </row>
    <row r="4" spans="1:29" ht="37.200000000000003">
      <c r="A4" s="2246"/>
      <c r="B4" s="315" t="s">
        <v>2251</v>
      </c>
      <c r="C4" s="2267" t="s">
        <v>2252</v>
      </c>
      <c r="D4" s="2264"/>
      <c r="E4" s="2268"/>
      <c r="F4" s="1279" t="s">
        <v>2253</v>
      </c>
      <c r="G4" s="2269" t="s">
        <v>2254</v>
      </c>
      <c r="H4" s="749"/>
      <c r="I4" s="749"/>
      <c r="J4" s="749"/>
      <c r="K4" s="749"/>
      <c r="L4" s="749"/>
      <c r="M4" s="749"/>
      <c r="N4" s="749"/>
      <c r="O4" s="749"/>
      <c r="P4" s="749"/>
      <c r="Q4" s="749"/>
    </row>
    <row r="5" spans="1:29" ht="37.200000000000003">
      <c r="A5" s="2246"/>
      <c r="B5" s="315" t="s">
        <v>2255</v>
      </c>
      <c r="C5" s="2267" t="s">
        <v>2256</v>
      </c>
      <c r="D5" s="2264"/>
      <c r="E5" s="2268"/>
      <c r="F5" s="315" t="s">
        <v>2257</v>
      </c>
      <c r="G5" s="2269" t="s">
        <v>2258</v>
      </c>
      <c r="H5" s="749"/>
      <c r="I5" s="749"/>
      <c r="J5" s="749"/>
      <c r="K5" s="749"/>
      <c r="L5" s="749"/>
      <c r="M5" s="749"/>
      <c r="N5" s="749"/>
      <c r="O5" s="749"/>
      <c r="P5" s="749"/>
      <c r="Q5" s="749"/>
    </row>
    <row r="6" spans="1:29" ht="48">
      <c r="A6" s="2246"/>
      <c r="B6" s="315" t="s">
        <v>2259</v>
      </c>
      <c r="C6" s="2269" t="s">
        <v>2254</v>
      </c>
      <c r="D6" s="2264"/>
      <c r="E6" s="2268"/>
      <c r="F6" s="315" t="s">
        <v>2260</v>
      </c>
      <c r="G6" s="2269" t="s">
        <v>2261</v>
      </c>
      <c r="H6" s="749"/>
      <c r="I6" s="749"/>
      <c r="J6" s="749"/>
      <c r="K6" s="749"/>
      <c r="L6" s="749"/>
      <c r="M6" s="749"/>
      <c r="N6" s="749"/>
      <c r="O6" s="749"/>
      <c r="P6" s="749"/>
      <c r="Q6" s="749"/>
    </row>
    <row r="7" spans="1:29" ht="36.6" thickBot="1">
      <c r="A7" s="2246"/>
      <c r="B7" s="315" t="s">
        <v>2257</v>
      </c>
      <c r="C7" s="2269" t="s">
        <v>2258</v>
      </c>
      <c r="D7" s="2243"/>
      <c r="E7" s="2270"/>
      <c r="F7" s="2271" t="s">
        <v>2262</v>
      </c>
      <c r="G7" s="2272" t="s">
        <v>2263</v>
      </c>
      <c r="H7" s="749"/>
      <c r="I7" s="749"/>
      <c r="J7" s="749"/>
      <c r="K7" s="749"/>
      <c r="L7" s="749"/>
      <c r="M7" s="749"/>
      <c r="N7" s="749"/>
      <c r="O7" s="749"/>
      <c r="P7" s="749"/>
      <c r="Q7" s="749"/>
    </row>
    <row r="8" spans="1:29" ht="24">
      <c r="A8" s="2246"/>
      <c r="B8" s="315" t="s">
        <v>2260</v>
      </c>
      <c r="C8" s="2269" t="s">
        <v>2261</v>
      </c>
      <c r="D8" s="2243"/>
      <c r="E8" s="2243"/>
      <c r="F8" s="121"/>
      <c r="G8" s="121"/>
      <c r="H8" s="749"/>
      <c r="I8" s="749"/>
      <c r="J8" s="749"/>
      <c r="K8" s="749"/>
      <c r="L8" s="749"/>
      <c r="M8" s="749"/>
      <c r="N8" s="749"/>
      <c r="O8" s="749"/>
      <c r="P8" s="749"/>
      <c r="Q8" s="749"/>
    </row>
    <row r="9" spans="1:29" ht="24">
      <c r="A9" s="2246"/>
      <c r="B9" s="315" t="s">
        <v>2264</v>
      </c>
      <c r="C9" s="2267" t="s">
        <v>2265</v>
      </c>
      <c r="D9" s="2264"/>
      <c r="E9" s="2243"/>
      <c r="F9" s="121"/>
      <c r="G9" s="121"/>
      <c r="H9" s="749"/>
      <c r="I9" s="749"/>
      <c r="J9" s="749"/>
      <c r="K9" s="749"/>
      <c r="L9" s="749"/>
      <c r="M9" s="749"/>
      <c r="N9" s="749"/>
      <c r="O9" s="749"/>
      <c r="P9" s="749"/>
      <c r="Q9" s="749"/>
    </row>
    <row r="10" spans="1:29" ht="14.4"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2284</v>
      </c>
      <c r="B13" s="2278"/>
      <c r="C13" s="2278"/>
      <c r="D13" s="2277"/>
      <c r="E13" s="2278"/>
      <c r="F13" s="2278"/>
      <c r="G13" s="2278"/>
    </row>
    <row r="14" spans="1:29" ht="14.4" thickBot="1">
      <c r="A14" s="2283"/>
      <c r="B14" s="2283"/>
      <c r="C14" s="2284" t="s">
        <v>2267</v>
      </c>
      <c r="D14" s="2264"/>
      <c r="E14" s="2285"/>
      <c r="F14" s="2285"/>
      <c r="G14" s="2260" t="s">
        <v>2268</v>
      </c>
    </row>
    <row r="15" spans="1:29" ht="52.8">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9.6">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9.6">
      <c r="A17" s="2250"/>
      <c r="B17" s="2289" t="s">
        <v>2255</v>
      </c>
      <c r="C17" s="2290" t="str">
        <f>C5</f>
        <v>估价对象位于XX商圈，周边办公楼项目较多，入驻率高，办公集聚程度较好</v>
      </c>
      <c r="D17" s="2243"/>
      <c r="E17" s="2251"/>
      <c r="F17" s="2291" t="s">
        <v>2272</v>
      </c>
      <c r="G17" s="2293"/>
    </row>
    <row r="18" spans="1:17" ht="52.8">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6.4">
      <c r="A19" s="2250"/>
      <c r="B19" s="2291" t="s">
        <v>2273</v>
      </c>
      <c r="C19" s="2293"/>
      <c r="D19" s="2264"/>
      <c r="E19" s="2251"/>
      <c r="F19" s="315" t="s">
        <v>2257</v>
      </c>
      <c r="G19" s="2292" t="str">
        <f>G5</f>
        <v>估价对象所在区域公共配套设施齐备情况</v>
      </c>
    </row>
    <row r="20" spans="1:17" ht="26.4">
      <c r="A20" s="2250"/>
      <c r="B20" s="2291" t="s">
        <v>2274</v>
      </c>
      <c r="C20" s="2290" t="str">
        <f>C9</f>
        <v>区域自然环境：；人文环境；综合评价环境状况一般</v>
      </c>
      <c r="D20" s="2243"/>
      <c r="E20" s="2251"/>
      <c r="F20" s="315" t="s">
        <v>2260</v>
      </c>
      <c r="G20" s="2292" t="str">
        <f>G6</f>
        <v>估价对象所在区域基础设施水平</v>
      </c>
    </row>
    <row r="21" spans="1:17" ht="26.4">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49" customFormat="1" ht="14.4" thickBot="1">
      <c r="A23" s="2250"/>
      <c r="B23" s="2291" t="s">
        <v>2275</v>
      </c>
      <c r="C23" s="2294"/>
      <c r="D23" s="1612"/>
      <c r="E23" s="2252"/>
      <c r="F23" s="2295" t="s">
        <v>2276</v>
      </c>
      <c r="G23" s="2296"/>
      <c r="H23" s="2275"/>
      <c r="I23" s="2275"/>
      <c r="J23" s="2275"/>
      <c r="K23" s="2275"/>
      <c r="L23" s="2275"/>
      <c r="M23" s="2275"/>
      <c r="N23" s="2275"/>
      <c r="O23" s="2275"/>
      <c r="P23" s="2275"/>
      <c r="Q23" s="2275"/>
    </row>
    <row r="24" spans="1:17" s="749" customFormat="1" ht="14.4" thickBot="1">
      <c r="A24" s="2253"/>
      <c r="B24" s="2295" t="s">
        <v>2277</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O26"/>
  <sheetViews>
    <sheetView view="pageBreakPreview" zoomScale="80" zoomScaleNormal="80" zoomScaleSheetLayoutView="80" workbookViewId="0">
      <selection activeCell="C8" sqref="C8"/>
    </sheetView>
  </sheetViews>
  <sheetFormatPr defaultColWidth="9" defaultRowHeight="14.4"/>
  <cols>
    <col min="1" max="1" width="25" style="2299" customWidth="1"/>
    <col min="2" max="9" width="15.77734375" style="2299" customWidth="1"/>
    <col min="10" max="16384" width="9" style="2299"/>
  </cols>
  <sheetData>
    <row r="1" spans="1:15" ht="16.2">
      <c r="A1" s="2298" t="s">
        <v>663</v>
      </c>
      <c r="B1" s="2298">
        <f>SUM(B14:B23)</f>
        <v>36780.86</v>
      </c>
      <c r="C1" s="2460"/>
      <c r="D1" s="2460"/>
      <c r="E1" s="2460"/>
      <c r="F1" s="2460"/>
      <c r="G1" s="2461"/>
      <c r="H1" s="2461"/>
      <c r="I1" s="2461"/>
      <c r="J1" s="2461"/>
      <c r="K1" s="2461"/>
    </row>
    <row r="2" spans="1:15" ht="16.2">
      <c r="A2" s="2298" t="s">
        <v>651</v>
      </c>
      <c r="B2" s="2298">
        <f>SUM(C14:C23)</f>
        <v>17362.38</v>
      </c>
      <c r="C2" s="2460"/>
      <c r="D2" s="2460"/>
      <c r="E2" s="2460"/>
      <c r="F2" s="2460"/>
      <c r="G2" s="2461"/>
      <c r="H2" s="2461"/>
      <c r="I2" s="2461"/>
      <c r="J2" s="2461"/>
      <c r="K2" s="2461"/>
    </row>
    <row r="3" spans="1:15" ht="15.6">
      <c r="A3" s="2298" t="s">
        <v>660</v>
      </c>
      <c r="B3" s="2300">
        <f>项目基本情况!D3</f>
        <v>45775</v>
      </c>
      <c r="C3" s="2460"/>
      <c r="D3" s="2460"/>
      <c r="E3" s="2460"/>
      <c r="F3" s="2460"/>
      <c r="G3" s="2461"/>
      <c r="H3" s="2461"/>
      <c r="I3" s="2461"/>
      <c r="J3" s="2461"/>
      <c r="K3" s="2461"/>
    </row>
    <row r="4" spans="1:15" ht="31.2">
      <c r="A4" s="2298" t="s">
        <v>659</v>
      </c>
      <c r="B4" s="2298" t="s">
        <v>658</v>
      </c>
      <c r="C4" s="2298" t="s">
        <v>657</v>
      </c>
      <c r="D4" s="2298" t="s">
        <v>656</v>
      </c>
      <c r="E4" s="2460"/>
      <c r="F4" s="2461"/>
      <c r="G4" s="2461"/>
      <c r="H4" s="2461"/>
      <c r="I4" s="2461"/>
      <c r="J4" s="2461"/>
      <c r="K4" s="2461"/>
    </row>
    <row r="5" spans="1:15" ht="15.6">
      <c r="A5" s="2298" t="s">
        <v>655</v>
      </c>
      <c r="B5" s="2298">
        <f ca="1">SUM(D14:D23)</f>
        <v>84300</v>
      </c>
      <c r="C5" s="2298">
        <f ca="1">IF(B5=D14,结果表!H102,ROUND(B5*10000/$B$1,0))</f>
        <v>22920</v>
      </c>
      <c r="D5" s="2298">
        <f ca="1">ROUND(B5*10000/$B$2,0)</f>
        <v>48553</v>
      </c>
      <c r="E5" s="2460"/>
      <c r="F5" s="2461"/>
      <c r="G5" s="2461"/>
      <c r="H5" s="2461"/>
      <c r="I5" s="2461"/>
      <c r="J5" s="2461"/>
      <c r="K5" s="2461"/>
    </row>
    <row r="6" spans="1:15" ht="15.6">
      <c r="A6" s="2298" t="s">
        <v>654</v>
      </c>
      <c r="B6" s="2298">
        <f ca="1">SUM(G14:G23)</f>
        <v>84300</v>
      </c>
      <c r="C6" s="2298">
        <f ca="1">IF(B6=G14,结果表!H108,ROUND(B6*10000/$B$1,0))</f>
        <v>22920</v>
      </c>
      <c r="D6" s="2298">
        <f ca="1">ROUND(B6*10000/$B$2,0)</f>
        <v>48553</v>
      </c>
      <c r="E6" s="2460"/>
      <c r="F6" s="2461"/>
      <c r="G6" s="2461"/>
      <c r="H6" s="2461"/>
      <c r="I6" s="2461"/>
      <c r="J6" s="2461"/>
      <c r="K6" s="2461"/>
    </row>
    <row r="7" spans="1:15" ht="15.6">
      <c r="A7" s="2298" t="s">
        <v>662</v>
      </c>
      <c r="B7" s="2298">
        <f>SUM(H14:H23)</f>
        <v>0</v>
      </c>
      <c r="C7" s="2298" t="str">
        <f>IF(B7=H14,结果表!H110,ROUND(B7*10000/$B$1,0))</f>
        <v>——</v>
      </c>
      <c r="D7" s="2298">
        <f>ROUND(B7*10000/$B$2,0)</f>
        <v>0</v>
      </c>
      <c r="E7" s="2460"/>
      <c r="F7" s="2461"/>
      <c r="G7" s="2461"/>
      <c r="H7" s="2461"/>
      <c r="I7" s="2461"/>
      <c r="J7" s="2461"/>
      <c r="K7" s="2461"/>
    </row>
    <row r="8" spans="1:15" ht="15.6">
      <c r="A8" s="2298" t="s">
        <v>587</v>
      </c>
      <c r="B8" s="2298">
        <f ca="1">SUM(I14:I23)</f>
        <v>75827</v>
      </c>
      <c r="C8" s="2298">
        <f ca="1">IF(B8=I14,结果表!H112,ROUND(B8*10000/$B$1,0))</f>
        <v>20616</v>
      </c>
      <c r="D8" s="2298">
        <f ca="1">ROUND(B8*10000/$B$2,0)</f>
        <v>43673</v>
      </c>
      <c r="E8" s="2460">
        <v>75758</v>
      </c>
      <c r="F8" s="2461">
        <f ca="1">B8-E8</f>
        <v>69</v>
      </c>
      <c r="G8" s="2461"/>
      <c r="H8" s="2461"/>
      <c r="I8" s="2461"/>
      <c r="J8" s="2461"/>
      <c r="K8" s="2461"/>
    </row>
    <row r="9" spans="1:15" ht="15.6">
      <c r="A9" s="2298" t="s">
        <v>653</v>
      </c>
      <c r="B9" s="1242"/>
      <c r="C9" s="2460"/>
      <c r="D9" s="2460"/>
      <c r="E9" s="2460"/>
      <c r="F9" s="2461"/>
      <c r="G9" s="2461"/>
      <c r="H9" s="2461"/>
      <c r="I9" s="2461"/>
      <c r="J9" s="2461"/>
      <c r="K9" s="2461"/>
    </row>
    <row r="10" spans="1:15" ht="15.6">
      <c r="A10" s="2298" t="s">
        <v>652</v>
      </c>
      <c r="B10" s="2298">
        <f>IF(E10="",0,ROUND(B1*(E10*365/G10)/10000,0))</f>
        <v>0</v>
      </c>
      <c r="C10" s="2298" t="s">
        <v>3353</v>
      </c>
      <c r="D10" s="2298" t="s">
        <v>3354</v>
      </c>
      <c r="E10" s="3134"/>
      <c r="F10" s="3138" t="s">
        <v>3355</v>
      </c>
      <c r="G10" s="3135"/>
      <c r="H10" s="2461"/>
      <c r="I10" s="2461"/>
      <c r="J10" s="2461"/>
      <c r="K10" s="2461"/>
    </row>
    <row r="11" spans="1:15" ht="15.6">
      <c r="A11" s="2298" t="s">
        <v>668</v>
      </c>
      <c r="B11" s="1242"/>
      <c r="C11" s="2460"/>
      <c r="D11" s="2460"/>
      <c r="E11" s="2460"/>
      <c r="F11" s="2461"/>
      <c r="G11" s="2461"/>
      <c r="H11" s="2461"/>
      <c r="I11" s="2461"/>
      <c r="J11" s="2461"/>
      <c r="K11" s="2461"/>
    </row>
    <row r="12" spans="1:15" ht="15.6">
      <c r="A12" s="2460"/>
      <c r="B12" s="2460"/>
      <c r="C12" s="2460"/>
      <c r="D12" s="2460"/>
      <c r="E12" s="2460"/>
      <c r="F12" s="2461"/>
      <c r="G12" s="2461"/>
      <c r="H12" s="2461"/>
      <c r="I12" s="2461"/>
      <c r="J12" s="2461"/>
      <c r="K12" s="2461"/>
    </row>
    <row r="13" spans="1:15" ht="31.8">
      <c r="A13" s="2301" t="s">
        <v>667</v>
      </c>
      <c r="B13" s="2302" t="s">
        <v>664</v>
      </c>
      <c r="C13" s="2302" t="s">
        <v>666</v>
      </c>
      <c r="D13" s="2302" t="s">
        <v>665</v>
      </c>
      <c r="E13" s="2298" t="s">
        <v>657</v>
      </c>
      <c r="F13" s="2298" t="s">
        <v>656</v>
      </c>
      <c r="G13" s="2302" t="s">
        <v>650</v>
      </c>
      <c r="H13" s="2302" t="s">
        <v>661</v>
      </c>
      <c r="I13" s="2302" t="s">
        <v>649</v>
      </c>
      <c r="J13" s="2461"/>
      <c r="K13" s="2461"/>
    </row>
    <row r="14" spans="1:15" ht="15.6">
      <c r="A14" s="2303" t="s">
        <v>3518</v>
      </c>
      <c r="B14" s="2304">
        <f>典型户型修正!B24</f>
        <v>11487.92</v>
      </c>
      <c r="C14" s="2304">
        <f>结果表!C118</f>
        <v>5422.86</v>
      </c>
      <c r="D14" s="2304">
        <f ca="1">典型户型修正!S24</f>
        <v>27641</v>
      </c>
      <c r="E14" s="2304">
        <f ca="1">ROUND(D14*10000/B14,0)</f>
        <v>24061</v>
      </c>
      <c r="F14" s="2304">
        <f ca="1">ROUND(D14*10000/C14,0)</f>
        <v>50971</v>
      </c>
      <c r="G14" s="2304">
        <f ca="1">D14</f>
        <v>27641</v>
      </c>
      <c r="H14" s="2304"/>
      <c r="I14" s="2304">
        <f ca="1">结果表!P59</f>
        <v>24862</v>
      </c>
      <c r="J14" s="3512" t="str">
        <f ca="1">NUMBERSTRING(INT(G14*10000),2)&amp;"元整"</f>
        <v>贰亿柒仟陆佰肆拾壹万元整</v>
      </c>
      <c r="K14" s="3513"/>
      <c r="L14" s="3512" t="str">
        <f ca="1">NUMBERSTRING(INT(I14*10000),2)&amp;"元整"</f>
        <v>贰亿肆仟捌佰陆拾贰万元整</v>
      </c>
      <c r="M14" s="3513"/>
      <c r="N14" s="3512" t="str">
        <f ca="1">NUMBERSTRING(INT(B6*10000),2)&amp;"元整"</f>
        <v>捌亿肆仟叁佰万元整</v>
      </c>
      <c r="O14" s="3513"/>
    </row>
    <row r="15" spans="1:15" ht="15.6" customHeight="1">
      <c r="A15" s="2303" t="s">
        <v>3464</v>
      </c>
      <c r="B15" s="2305">
        <f>典型户型修正!B25</f>
        <v>25292.940000000002</v>
      </c>
      <c r="C15" s="2305">
        <f>'数据-汇总表'!D3-系统读取表!C14</f>
        <v>11939.52</v>
      </c>
      <c r="D15" s="2305">
        <f ca="1">典型户型修正!S25</f>
        <v>56659</v>
      </c>
      <c r="E15" s="2304">
        <f t="shared" ref="E15:E23" ca="1" si="0">ROUND(D15*10000/B15,0)</f>
        <v>22401</v>
      </c>
      <c r="F15" s="2304">
        <f t="shared" ref="F15:F23" ca="1" si="1">ROUND(D15*10000/C15,0)</f>
        <v>47455</v>
      </c>
      <c r="G15" s="1242">
        <f ca="1">D15</f>
        <v>56659</v>
      </c>
      <c r="H15" s="1242"/>
      <c r="I15" s="2305">
        <f ca="1">'结果表(13号楼净值)'!P59</f>
        <v>50965</v>
      </c>
      <c r="J15" s="3512" t="str">
        <f ca="1">NUMBERSTRING(INT(G15*10000),2)&amp;"元整"</f>
        <v>伍亿陆仟陆佰伍拾玖万元整</v>
      </c>
      <c r="K15" s="3513"/>
      <c r="L15" s="3512" t="str">
        <f ca="1">NUMBERSTRING(INT(I15*10000),2)&amp;"元整"</f>
        <v>伍亿零玖佰陆拾伍万元整</v>
      </c>
      <c r="M15" s="3513"/>
      <c r="N15" s="3512" t="str">
        <f ca="1">NUMBERSTRING(INT(B8*10000),2)&amp;"元整"</f>
        <v>柒亿伍仟捌佰贰拾柒万元整</v>
      </c>
      <c r="O15" s="3513"/>
    </row>
    <row r="16" spans="1:15" ht="15.6">
      <c r="A16" s="2303" t="s">
        <v>648</v>
      </c>
      <c r="B16" s="2305"/>
      <c r="C16" s="2305"/>
      <c r="D16" s="2305"/>
      <c r="E16" s="2304" t="e">
        <f t="shared" si="0"/>
        <v>#DIV/0!</v>
      </c>
      <c r="F16" s="2304" t="e">
        <f t="shared" si="1"/>
        <v>#DIV/0!</v>
      </c>
      <c r="G16" s="1242"/>
      <c r="H16" s="1242"/>
      <c r="I16" s="2305"/>
      <c r="J16" s="2461"/>
      <c r="K16" s="2461"/>
    </row>
    <row r="17" spans="1:11" ht="15.6">
      <c r="A17" s="2303" t="s">
        <v>647</v>
      </c>
      <c r="B17" s="2305"/>
      <c r="C17" s="2305"/>
      <c r="D17" s="2305"/>
      <c r="E17" s="2304" t="e">
        <f t="shared" si="0"/>
        <v>#DIV/0!</v>
      </c>
      <c r="F17" s="2304" t="e">
        <f t="shared" si="1"/>
        <v>#DIV/0!</v>
      </c>
      <c r="G17" s="1242"/>
      <c r="H17" s="1242"/>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mergeCells count="6">
    <mergeCell ref="J14:K14"/>
    <mergeCell ref="J15:K15"/>
    <mergeCell ref="L14:M14"/>
    <mergeCell ref="L15:M15"/>
    <mergeCell ref="N14:O14"/>
    <mergeCell ref="N15:O15"/>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I51" zoomScaleNormal="100" zoomScaleSheetLayoutView="100" zoomScalePageLayoutView="80" workbookViewId="0">
      <selection activeCell="P61" sqref="P61"/>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1260</v>
      </c>
      <c r="B1" s="644"/>
      <c r="C1" s="1618" t="s">
        <v>3418</v>
      </c>
      <c r="D1" s="644"/>
      <c r="E1" s="644"/>
      <c r="F1" s="1619" t="s">
        <v>1261</v>
      </c>
      <c r="G1" s="1451"/>
      <c r="H1" s="1619" t="str">
        <f>IF(G1="现房","——","估价对象范围")</f>
        <v>估价对象范围</v>
      </c>
      <c r="I1" s="1620"/>
    </row>
    <row r="2" spans="1:12" ht="21.75" customHeight="1" thickBot="1">
      <c r="A2" s="3297" t="str">
        <f>项目基本情况!S2</f>
        <v>北京市房地产</v>
      </c>
      <c r="B2" s="3298"/>
      <c r="C2" s="3298"/>
      <c r="D2" s="3298"/>
      <c r="E2" s="3298"/>
      <c r="F2" s="3298"/>
      <c r="G2" s="3298"/>
      <c r="H2" s="3298"/>
      <c r="I2" s="3299"/>
    </row>
    <row r="3" spans="1:12" ht="13.2">
      <c r="A3" s="3301" t="s">
        <v>1262</v>
      </c>
      <c r="B3" s="3302"/>
      <c r="C3" s="3302"/>
      <c r="D3" s="3302"/>
      <c r="E3" s="3302"/>
      <c r="F3" s="3302"/>
      <c r="G3" s="3302"/>
      <c r="H3" s="3302"/>
      <c r="I3" s="3302"/>
    </row>
    <row r="4" spans="1:12" ht="14.4">
      <c r="A4" s="1622" t="s">
        <v>1263</v>
      </c>
      <c r="B4" s="1623" t="s">
        <v>1264</v>
      </c>
      <c r="C4" s="1624" t="s">
        <v>3439</v>
      </c>
      <c r="D4" s="1624" t="s">
        <v>3442</v>
      </c>
      <c r="E4" s="3303" t="s">
        <v>1265</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7" t="s">
        <v>1266</v>
      </c>
      <c r="B5" s="3264">
        <v>25</v>
      </c>
      <c r="C5" s="3280"/>
      <c r="D5" s="3300"/>
      <c r="E5" s="123" t="s">
        <v>1267</v>
      </c>
      <c r="F5" s="1625"/>
      <c r="G5" s="1625"/>
      <c r="H5" s="1625"/>
      <c r="I5" s="1279"/>
    </row>
    <row r="6" spans="1:12" ht="13.2">
      <c r="A6" s="3277"/>
      <c r="B6" s="3264"/>
      <c r="C6" s="3281"/>
      <c r="D6" s="3300"/>
      <c r="E6" s="123" t="s">
        <v>1268</v>
      </c>
      <c r="F6" s="1625"/>
      <c r="G6" s="1625"/>
      <c r="H6" s="1625"/>
      <c r="I6" s="1279"/>
    </row>
    <row r="7" spans="1:12" ht="13.2">
      <c r="A7" s="3277"/>
      <c r="B7" s="3264"/>
      <c r="C7" s="3282"/>
      <c r="D7" s="3300"/>
      <c r="E7" s="123" t="s">
        <v>1269</v>
      </c>
      <c r="F7" s="1625"/>
      <c r="G7" s="1625"/>
      <c r="H7" s="1625"/>
      <c r="I7" s="1279"/>
    </row>
    <row r="8" spans="1:12" ht="13.2">
      <c r="A8" s="3277" t="s">
        <v>1270</v>
      </c>
      <c r="B8" s="3264">
        <v>15</v>
      </c>
      <c r="C8" s="3280"/>
      <c r="D8" s="3300"/>
      <c r="E8" s="123" t="s">
        <v>1271</v>
      </c>
      <c r="F8" s="1625"/>
      <c r="G8" s="1625"/>
      <c r="H8" s="1625"/>
      <c r="I8" s="1279"/>
    </row>
    <row r="9" spans="1:12" ht="13.2">
      <c r="A9" s="3277"/>
      <c r="B9" s="3264"/>
      <c r="C9" s="3282"/>
      <c r="D9" s="3300"/>
      <c r="E9" s="123" t="s">
        <v>1272</v>
      </c>
      <c r="F9" s="1625"/>
      <c r="G9" s="1625"/>
      <c r="H9" s="1625"/>
      <c r="I9" s="1279"/>
    </row>
    <row r="10" spans="1:12" ht="13.2">
      <c r="A10" s="3277" t="s">
        <v>1273</v>
      </c>
      <c r="B10" s="3264">
        <v>15</v>
      </c>
      <c r="C10" s="3280"/>
      <c r="D10" s="3300"/>
      <c r="E10" s="123" t="s">
        <v>1274</v>
      </c>
      <c r="F10" s="1625"/>
      <c r="G10" s="1625"/>
      <c r="H10" s="1625"/>
      <c r="I10" s="1279"/>
    </row>
    <row r="11" spans="1:12" ht="13.2">
      <c r="A11" s="3277"/>
      <c r="B11" s="3264"/>
      <c r="C11" s="3282"/>
      <c r="D11" s="3300"/>
      <c r="E11" s="123" t="s">
        <v>1275</v>
      </c>
      <c r="F11" s="1625"/>
      <c r="G11" s="1625"/>
      <c r="H11" s="1625"/>
      <c r="I11" s="1279"/>
    </row>
    <row r="12" spans="1:12" ht="13.2">
      <c r="A12" s="3277" t="s">
        <v>1276</v>
      </c>
      <c r="B12" s="3264">
        <v>15</v>
      </c>
      <c r="C12" s="3280"/>
      <c r="D12" s="3300"/>
      <c r="E12" s="123" t="s">
        <v>1277</v>
      </c>
      <c r="F12" s="1625"/>
      <c r="G12" s="1625"/>
      <c r="H12" s="1625"/>
      <c r="I12" s="1279"/>
    </row>
    <row r="13" spans="1:12" ht="13.2">
      <c r="A13" s="3277"/>
      <c r="B13" s="3264"/>
      <c r="C13" s="3282"/>
      <c r="D13" s="3300"/>
      <c r="E13" s="123" t="s">
        <v>1278</v>
      </c>
      <c r="F13" s="1625"/>
      <c r="G13" s="1625"/>
      <c r="H13" s="1625"/>
      <c r="I13" s="1279"/>
    </row>
    <row r="14" spans="1:12" ht="13.2">
      <c r="A14" s="3277" t="s">
        <v>1279</v>
      </c>
      <c r="B14" s="3264">
        <v>30</v>
      </c>
      <c r="C14" s="3280">
        <v>7</v>
      </c>
      <c r="D14" s="3300">
        <v>3</v>
      </c>
      <c r="E14" s="123" t="s">
        <v>1280</v>
      </c>
      <c r="F14" s="1625"/>
      <c r="G14" s="1625"/>
      <c r="H14" s="1625"/>
      <c r="I14" s="1279"/>
    </row>
    <row r="15" spans="1:12" ht="13.2">
      <c r="A15" s="3277"/>
      <c r="B15" s="3264"/>
      <c r="C15" s="3281"/>
      <c r="D15" s="3300"/>
      <c r="E15" s="123" t="s">
        <v>1281</v>
      </c>
      <c r="F15" s="1625"/>
      <c r="G15" s="1625"/>
      <c r="H15" s="1625"/>
      <c r="I15" s="1279"/>
    </row>
    <row r="16" spans="1:12" ht="13.2">
      <c r="A16" s="3277"/>
      <c r="B16" s="3264"/>
      <c r="C16" s="3282"/>
      <c r="D16" s="3300"/>
      <c r="E16" s="123" t="s">
        <v>1282</v>
      </c>
      <c r="F16" s="1625"/>
      <c r="G16" s="1625"/>
      <c r="H16" s="1625"/>
      <c r="I16" s="1279"/>
    </row>
    <row r="17" spans="1:36" ht="14.4">
      <c r="A17" s="1626" t="s">
        <v>1283</v>
      </c>
      <c r="B17" s="54"/>
      <c r="C17" s="124">
        <f>SUM(C5:C16)</f>
        <v>7</v>
      </c>
      <c r="D17" s="124">
        <f>SUM(D5:D16)</f>
        <v>3</v>
      </c>
      <c r="E17" s="121"/>
      <c r="F17" s="121"/>
      <c r="G17" s="121"/>
      <c r="H17" s="121"/>
      <c r="I17" s="121"/>
      <c r="K17" s="294"/>
      <c r="L17" s="294" t="s">
        <v>1284</v>
      </c>
      <c r="M17" s="294" t="s">
        <v>1285</v>
      </c>
    </row>
    <row r="18" spans="1:36" ht="31.95" customHeight="1" thickBot="1">
      <c r="A18" s="1627" t="s">
        <v>1286</v>
      </c>
      <c r="B18" s="1540"/>
      <c r="C18" s="125">
        <f>ROUND(C17/SUM(C17:D17),2)</f>
        <v>0.7</v>
      </c>
      <c r="D18" s="125">
        <f>1-C18</f>
        <v>0.30000000000000004</v>
      </c>
      <c r="E18" s="3287" t="s">
        <v>2128</v>
      </c>
      <c r="F18" s="3288"/>
      <c r="G18" s="3288"/>
      <c r="H18" s="3288"/>
      <c r="I18" s="3288"/>
      <c r="K18" s="294" t="s">
        <v>1287</v>
      </c>
      <c r="L18" s="294">
        <f>IF(C1="",'数据-汇总表'!E3,SUMIF(项目类型,C1,'数据-汇总表'!E17:E26)+SUMIF(项目类型,C1,'数据-汇总表'!I17:I26))</f>
        <v>11487.92</v>
      </c>
      <c r="M18" s="294">
        <f>IF(C1="",'数据-汇总表'!E3,SUMIF(项目类型,C1,'数据-汇总表'!E17:E26))</f>
        <v>11487.92</v>
      </c>
    </row>
    <row r="19" spans="1:36" ht="14.4">
      <c r="A19" s="1628" t="s">
        <v>1288</v>
      </c>
      <c r="B19" s="1629" t="s">
        <v>1289</v>
      </c>
      <c r="C19" s="126">
        <f ca="1">SUMIF(INDIRECT("'"&amp;C4&amp;"'"&amp;"!A:A"),结果表!B19,INDIRECT("'"&amp;C4&amp;"'"&amp;"!B:B"))</f>
        <v>30059</v>
      </c>
      <c r="D19" s="127">
        <f ca="1">SUMIF(INDIRECT("'"&amp;D4&amp;"'"&amp;"!A:A"),结果表!B19,INDIRECT("'"&amp;D4&amp;"'"&amp;"!B:B"))</f>
        <v>21997</v>
      </c>
      <c r="E19" s="1628" t="s">
        <v>1290</v>
      </c>
      <c r="F19" s="1629" t="s">
        <v>1289</v>
      </c>
      <c r="G19" s="128">
        <f ca="1">ROUND(C19*$C$18+D19*$D$18,0)</f>
        <v>27640</v>
      </c>
      <c r="H19" s="1630" t="s">
        <v>1291</v>
      </c>
      <c r="I19" s="121"/>
      <c r="K19" s="294" t="s">
        <v>1292</v>
      </c>
      <c r="L19" s="294">
        <f>IF(C1="",'数据-汇总表'!D3,SUMIF(项目类型,C1,'数据-汇总表'!D17:D26)+SUMIF(项目类型,C1,'数据-汇总表'!H17:H27))</f>
        <v>5422.86</v>
      </c>
      <c r="M19" s="294">
        <f>IF(C1="",'数据-汇总表'!D3,SUMIF(项目类型,C1,'数据-汇总表'!D17:D26))</f>
        <v>5422.86</v>
      </c>
    </row>
    <row r="20" spans="1:36" ht="14.4">
      <c r="A20" s="1631"/>
      <c r="B20" s="43" t="s">
        <v>1293</v>
      </c>
      <c r="C20" s="129">
        <f ca="1">SUMIF(INDIRECT("'"&amp;C4&amp;"'"&amp;"!A:A"),结果表!B20,INDIRECT("'"&amp;C4&amp;"'"&amp;"!B:B"))</f>
        <v>26166</v>
      </c>
      <c r="D20" s="130">
        <f ca="1">SUMIF(INDIRECT("'"&amp;D4&amp;"'"&amp;"!A:A"),结果表!B20,INDIRECT("'"&amp;D4&amp;"'"&amp;"!B:B"))</f>
        <v>19148</v>
      </c>
      <c r="E20" s="1631"/>
      <c r="F20" s="43" t="s">
        <v>1293</v>
      </c>
      <c r="G20" s="131">
        <f ca="1">ROUND(C20*$C$18+D20*$D$18,0)</f>
        <v>24061</v>
      </c>
      <c r="H20" s="758" t="s">
        <v>1294</v>
      </c>
      <c r="I20" s="121"/>
    </row>
    <row r="21" spans="1:36" ht="15" customHeight="1" thickBot="1">
      <c r="A21" s="449"/>
      <c r="B21" s="93" t="s">
        <v>1295</v>
      </c>
      <c r="C21" s="676">
        <f ca="1">ROUND(C19*10000/L19,0)</f>
        <v>55430</v>
      </c>
      <c r="D21" s="677">
        <f ca="1">ROUND(D19*10000/L19,0)</f>
        <v>40563</v>
      </c>
      <c r="E21" s="449"/>
      <c r="F21" s="93" t="s">
        <v>1295</v>
      </c>
      <c r="G21" s="132">
        <f ca="1">ROUND(G19*10000/L19,0)</f>
        <v>50969</v>
      </c>
      <c r="H21" s="1632" t="s">
        <v>1294</v>
      </c>
      <c r="I21" s="121"/>
    </row>
    <row r="22" spans="1:36" ht="15" thickBot="1">
      <c r="A22" s="1562" t="s">
        <v>1296</v>
      </c>
      <c r="B22" s="1633"/>
      <c r="C22" s="1634"/>
      <c r="D22" s="678">
        <f ca="1">IF(C19&lt;D19,D19/C19-1,C19/D19-1)</f>
        <v>0.36650452334409245</v>
      </c>
      <c r="E22" s="121"/>
      <c r="F22" s="121"/>
      <c r="G22" s="121"/>
      <c r="H22" s="121"/>
      <c r="I22" s="121"/>
    </row>
    <row r="23" spans="1:36" ht="13.8" thickBot="1">
      <c r="A23" s="644"/>
      <c r="B23" s="644"/>
      <c r="C23" s="644"/>
      <c r="D23" s="644"/>
      <c r="E23" s="121"/>
      <c r="F23" s="121"/>
      <c r="G23" s="121"/>
      <c r="H23" s="121"/>
      <c r="I23" s="121"/>
    </row>
    <row r="24" spans="1:36" ht="14.4">
      <c r="A24" s="3271" t="s">
        <v>1297</v>
      </c>
      <c r="B24" s="1629" t="s">
        <v>1289</v>
      </c>
      <c r="C24" s="128">
        <f>IF(B30=0,0,D30)</f>
        <v>0</v>
      </c>
      <c r="D24" s="1635"/>
      <c r="E24" s="121"/>
      <c r="F24" s="121"/>
      <c r="G24" s="121"/>
      <c r="H24" s="121"/>
      <c r="I24" s="121"/>
    </row>
    <row r="25" spans="1:36" ht="14.4">
      <c r="A25" s="3272"/>
      <c r="B25" s="43" t="s">
        <v>1293</v>
      </c>
      <c r="C25" s="133">
        <f>IF(B30=0,0,C30)</f>
        <v>0</v>
      </c>
      <c r="D25" s="1636"/>
      <c r="E25" s="121"/>
      <c r="F25" s="121"/>
      <c r="G25" s="121"/>
      <c r="H25" s="121"/>
      <c r="I25" s="121"/>
    </row>
    <row r="26" spans="1:36" ht="13.5" customHeight="1">
      <c r="A26" s="1637" t="s">
        <v>1298</v>
      </c>
      <c r="B26" s="134" t="s">
        <v>1299</v>
      </c>
      <c r="C26" s="134" t="s">
        <v>1300</v>
      </c>
      <c r="D26" s="135" t="s">
        <v>1301</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1302</v>
      </c>
      <c r="B30" s="134"/>
      <c r="C30" s="134"/>
      <c r="D30" s="134"/>
      <c r="E30" s="2125" t="s">
        <v>2129</v>
      </c>
      <c r="F30" s="121"/>
      <c r="G30" s="121"/>
      <c r="H30" s="121"/>
      <c r="I30" s="121"/>
    </row>
    <row r="31" spans="1:36" s="2131" customFormat="1" ht="26.4"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1303</v>
      </c>
      <c r="B32" s="1533"/>
      <c r="C32" s="136">
        <f ca="1">IF(D32="总价",G19-C24,G20-C25)</f>
        <v>27640</v>
      </c>
      <c r="D32" s="1639" t="s">
        <v>3446</v>
      </c>
      <c r="E32" s="121"/>
      <c r="F32" s="121"/>
      <c r="G32" s="121"/>
      <c r="H32" s="121"/>
      <c r="I32" s="121"/>
    </row>
    <row r="33" spans="1:15" ht="14.4">
      <c r="A33" s="738" t="s">
        <v>1304</v>
      </c>
      <c r="B33" s="123"/>
      <c r="C33" s="1640" t="s">
        <v>3447</v>
      </c>
      <c r="D33" s="1641" t="s">
        <v>3442</v>
      </c>
      <c r="E33" s="1642" t="s">
        <v>1305</v>
      </c>
      <c r="F33" s="1643" t="str">
        <f>IF(D32="楼面单价","取值（单价）","取值（总价）")</f>
        <v>取值（总价）</v>
      </c>
      <c r="G33" s="121"/>
      <c r="H33" s="121"/>
      <c r="I33" s="121"/>
    </row>
    <row r="34" spans="1:15" ht="14.4">
      <c r="A34" s="1644"/>
      <c r="B34" s="1645" t="s">
        <v>1306</v>
      </c>
      <c r="C34" s="140">
        <f ca="1">IF(C33="自定义",F34,C32-C35)</f>
        <v>14539</v>
      </c>
      <c r="D34" s="806">
        <f ca="1">IF(C33="自定义",ROUND(C34/C32,3),IF(C33="收益比率",SUMIF(INDIRECT("'"&amp;D33&amp;"'"&amp;"!b:b"),"土地收益比率",INDIRECT("'"&amp;D33&amp;"'"&amp;"!c:c")),SUMIF(INDIRECT("'"&amp;D33&amp;"'"&amp;"!b:b"),"土地成本比率",INDIRECT("'"&amp;D33&amp;"'"&amp;"!c:c"))))</f>
        <v>0.52600000000000002</v>
      </c>
      <c r="E34" s="1646" t="s">
        <v>1307</v>
      </c>
      <c r="F34" s="1241"/>
      <c r="G34" s="121"/>
      <c r="H34" s="121"/>
      <c r="I34" s="121"/>
    </row>
    <row r="35" spans="1:15" ht="15" thickBot="1">
      <c r="A35" s="1647"/>
      <c r="B35" s="1648" t="s">
        <v>1308</v>
      </c>
      <c r="C35" s="1088">
        <f ca="1">IF(C33="自定义",F35,ROUND(C32*D35,0))</f>
        <v>13101</v>
      </c>
      <c r="D35" s="1089">
        <f ca="1">IF(C33="自定义",ROUND(C35/C32,3),IF(C33="收益比率",SUMIF(INDIRECT("'"&amp;D33&amp;"'"&amp;"!b:b"),"建筑物收益比率",INDIRECT("'"&amp;D33&amp;"'"&amp;"!c:c")),SUMIF(INDIRECT("'"&amp;D33&amp;"'"&amp;"!b:b"),"建筑物成本比率",INDIRECT("'"&amp;D33&amp;"'"&amp;"!c:c"))))</f>
        <v>0.47399999999999998</v>
      </c>
      <c r="E35" s="1649" t="s">
        <v>1309</v>
      </c>
      <c r="F35" s="146"/>
      <c r="G35" s="121"/>
      <c r="H35" s="121"/>
      <c r="I35" s="121"/>
    </row>
    <row r="36" spans="1:15" ht="15" thickBot="1">
      <c r="A36" s="3291" t="s">
        <v>1310</v>
      </c>
      <c r="B36" s="1650" t="s">
        <v>1311</v>
      </c>
      <c r="C36" s="137"/>
      <c r="D36" s="1651"/>
      <c r="E36" s="1565"/>
      <c r="F36" s="1652"/>
      <c r="G36" s="121"/>
      <c r="H36" s="121"/>
      <c r="I36" s="121"/>
    </row>
    <row r="37" spans="1:15" ht="15" thickBot="1">
      <c r="A37" s="3292"/>
      <c r="B37" s="1553" t="s">
        <v>1312</v>
      </c>
      <c r="C37" s="139"/>
      <c r="D37" s="1069"/>
      <c r="E37" s="1069"/>
      <c r="F37" s="1652"/>
      <c r="G37" s="121"/>
      <c r="H37" s="121"/>
      <c r="I37" s="121"/>
    </row>
    <row r="38" spans="1:15" ht="15" thickBot="1">
      <c r="A38" s="3293"/>
      <c r="B38" s="1653" t="s">
        <v>1313</v>
      </c>
      <c r="C38" s="639"/>
      <c r="D38" s="1654" t="s">
        <v>1314</v>
      </c>
      <c r="E38" s="1069"/>
      <c r="F38" s="1652"/>
      <c r="G38" s="121"/>
      <c r="H38" s="121"/>
      <c r="I38" s="121"/>
    </row>
    <row r="39" spans="1:15" ht="14.4">
      <c r="A39" s="1631" t="s">
        <v>1315</v>
      </c>
      <c r="B39" s="1655" t="s">
        <v>1316</v>
      </c>
      <c r="C39" s="1656" t="s">
        <v>1317</v>
      </c>
      <c r="D39" s="1656" t="s">
        <v>1318</v>
      </c>
      <c r="E39" s="1657" t="s">
        <v>1319</v>
      </c>
      <c r="F39" s="1652"/>
      <c r="G39" s="121"/>
      <c r="H39" s="121"/>
      <c r="I39" s="121"/>
    </row>
    <row r="40" spans="1:15" ht="13.8">
      <c r="A40" s="1658" t="s">
        <v>1320</v>
      </c>
      <c r="B40" s="141"/>
      <c r="C40" s="142"/>
      <c r="D40" s="142"/>
      <c r="E40" s="143"/>
      <c r="F40" s="1652"/>
      <c r="G40" s="121"/>
      <c r="H40" s="121"/>
      <c r="I40" s="121"/>
    </row>
    <row r="41" spans="1:15" ht="13.8">
      <c r="A41" s="1658" t="s">
        <v>1321</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1322</v>
      </c>
      <c r="B44" s="1662"/>
      <c r="C44" s="1662"/>
      <c r="D44" s="1663"/>
      <c r="E44" s="1663"/>
      <c r="F44" s="1664"/>
      <c r="G44" s="1664"/>
      <c r="H44" s="1664"/>
      <c r="I44" s="1664"/>
      <c r="J44" s="1665" t="s">
        <v>1323</v>
      </c>
      <c r="K44" s="4"/>
      <c r="L44" s="4"/>
      <c r="M44" s="4"/>
      <c r="N44" s="4"/>
      <c r="O44" s="4"/>
    </row>
    <row r="45" spans="1:15" ht="14.25" customHeight="1" thickBot="1">
      <c r="A45" s="3268" t="s">
        <v>1324</v>
      </c>
      <c r="B45" s="3269"/>
      <c r="C45" s="3270"/>
      <c r="D45" s="147">
        <f ca="1">ROUND(H101*F45,0)</f>
        <v>27640</v>
      </c>
      <c r="E45" s="148" t="s">
        <v>1325</v>
      </c>
      <c r="F45" s="149">
        <v>1</v>
      </c>
      <c r="G45" s="150" t="s">
        <v>1326</v>
      </c>
      <c r="H45" s="121"/>
      <c r="I45" s="121"/>
      <c r="J45" s="3346" t="s">
        <v>1327</v>
      </c>
      <c r="K45" s="3346"/>
      <c r="L45" s="3346"/>
      <c r="M45" s="3346"/>
      <c r="N45" s="3346"/>
      <c r="O45" s="3346"/>
    </row>
    <row r="46" spans="1:15" ht="14.25" customHeight="1">
      <c r="A46" s="3265" t="s">
        <v>1328</v>
      </c>
      <c r="B46" s="3266"/>
      <c r="C46" s="3266"/>
      <c r="D46" s="3266"/>
      <c r="E46" s="3266"/>
      <c r="F46" s="3266"/>
      <c r="G46" s="3267"/>
      <c r="H46" s="1666"/>
      <c r="I46" s="151"/>
      <c r="J46" s="2308">
        <v>1</v>
      </c>
      <c r="K46" s="3327" t="s">
        <v>1329</v>
      </c>
      <c r="L46" s="3327"/>
      <c r="M46" s="3347"/>
      <c r="N46" s="3347"/>
      <c r="O46" s="3347"/>
    </row>
    <row r="47" spans="1:15" ht="12" customHeight="1">
      <c r="A47" s="152" t="s">
        <v>1330</v>
      </c>
      <c r="B47" s="153"/>
      <c r="C47" s="154"/>
      <c r="D47" s="1022" t="s">
        <v>1331</v>
      </c>
      <c r="E47" s="294" t="s">
        <v>1332</v>
      </c>
      <c r="F47" s="155" t="s">
        <v>1333</v>
      </c>
      <c r="G47" s="2331" t="s">
        <v>1334</v>
      </c>
      <c r="H47" s="2332"/>
      <c r="I47" s="151"/>
      <c r="J47" s="2308">
        <v>2</v>
      </c>
      <c r="K47" s="3327" t="s">
        <v>1335</v>
      </c>
      <c r="L47" s="3327"/>
      <c r="M47" s="3348">
        <f>'数据-取费表'!B2</f>
        <v>45775</v>
      </c>
      <c r="N47" s="3348"/>
      <c r="O47" s="3348"/>
    </row>
    <row r="48" spans="1:15" ht="26.4">
      <c r="A48" s="3296" t="s">
        <v>1336</v>
      </c>
      <c r="B48" s="3279"/>
      <c r="C48" s="3279"/>
      <c r="D48" s="12">
        <f ca="1">IF(H48="情况1",0,IF(H48="情况2",D52,IF(H48="情况3",D53,IF(H48="情况4",D54))))</f>
        <v>1448</v>
      </c>
      <c r="E48" s="1254" t="str">
        <f>IF(H48="情况4","(销售额-原购置价)×税（费）率","销售额×税（费）率")</f>
        <v>销售额×税（费）率</v>
      </c>
      <c r="F48" s="2333">
        <f>IF(H48="情况1","免征",'数据-取费表'!B41)</f>
        <v>5.5000000000000007E-2</v>
      </c>
      <c r="G48" s="2334" t="s">
        <v>1337</v>
      </c>
      <c r="H48" s="2335" t="s">
        <v>3519</v>
      </c>
      <c r="I48" s="1666"/>
      <c r="J48" s="2308">
        <v>3</v>
      </c>
      <c r="K48" s="3327" t="s">
        <v>1338</v>
      </c>
      <c r="L48" s="3327"/>
      <c r="M48" s="3349">
        <f ca="1">H101</f>
        <v>27640</v>
      </c>
      <c r="N48" s="3349"/>
      <c r="O48" s="3349"/>
    </row>
    <row r="49" spans="1:35" ht="25.5" customHeight="1">
      <c r="A49" s="2150" t="s">
        <v>1339</v>
      </c>
      <c r="B49" s="3263" t="s">
        <v>1340</v>
      </c>
      <c r="C49" s="3263"/>
      <c r="D49" s="1476">
        <v>0</v>
      </c>
      <c r="E49" s="316" t="s">
        <v>1341</v>
      </c>
      <c r="F49" s="2231" t="s">
        <v>28</v>
      </c>
      <c r="G49" s="3333"/>
      <c r="H49" s="2132" t="s">
        <v>2131</v>
      </c>
      <c r="I49" s="2133"/>
      <c r="J49" s="2308">
        <v>4</v>
      </c>
      <c r="K49" s="3327" t="str">
        <f>IF(项目基本情况!E8="房地产抵押价值","房地产抵押价值","抵押担保权已注销时的房地产抵押价值")</f>
        <v>房地产抵押价值</v>
      </c>
      <c r="L49" s="3327"/>
      <c r="M49" s="3349">
        <f ca="1">IF(项目基本情况!E8="房地产抵押价值",H107,H109)</f>
        <v>27640</v>
      </c>
      <c r="N49" s="3349"/>
      <c r="O49" s="3349"/>
    </row>
    <row r="50" spans="1:35" ht="25.5" customHeight="1">
      <c r="A50" s="2336"/>
      <c r="B50" s="3263" t="s">
        <v>1342</v>
      </c>
      <c r="C50" s="3263"/>
      <c r="D50" s="2187"/>
      <c r="E50" s="323"/>
      <c r="F50" s="2231"/>
      <c r="G50" s="3334"/>
      <c r="H50" s="2134" t="s">
        <v>2132</v>
      </c>
      <c r="I50" s="2133"/>
      <c r="J50" s="3346" t="s">
        <v>1343</v>
      </c>
      <c r="K50" s="3346"/>
      <c r="L50" s="3346"/>
      <c r="M50" s="3346"/>
      <c r="N50" s="3346"/>
      <c r="O50" s="3346"/>
    </row>
    <row r="51" spans="1:35" ht="20.399999999999999" customHeight="1">
      <c r="A51" s="2337"/>
      <c r="B51" s="3263" t="s">
        <v>1344</v>
      </c>
      <c r="C51" s="3263"/>
      <c r="D51" s="1022"/>
      <c r="E51" s="319"/>
      <c r="F51" s="2231"/>
      <c r="G51" s="3335"/>
      <c r="H51" s="2134" t="s">
        <v>2133</v>
      </c>
      <c r="I51" s="2133"/>
      <c r="J51" s="2309" t="s">
        <v>1345</v>
      </c>
      <c r="K51" s="3327" t="s">
        <v>1346</v>
      </c>
      <c r="L51" s="3327"/>
      <c r="M51" s="2309" t="s">
        <v>1347</v>
      </c>
      <c r="N51" s="2309" t="s">
        <v>1348</v>
      </c>
      <c r="O51" s="2309" t="s">
        <v>1349</v>
      </c>
    </row>
    <row r="52" spans="1:35" ht="24" customHeight="1">
      <c r="A52" s="2151" t="s">
        <v>1350</v>
      </c>
      <c r="B52" s="3263" t="s">
        <v>1351</v>
      </c>
      <c r="C52" s="3263"/>
      <c r="D52" s="1022">
        <f ca="1">ROUND(D45*'数据-取费表'!B41/(1+'数据-取费表'!C42),0)</f>
        <v>1448</v>
      </c>
      <c r="E52" s="1254" t="s">
        <v>1352</v>
      </c>
      <c r="F52" s="2338">
        <f>'数据-取费表'!B41</f>
        <v>5.5000000000000007E-2</v>
      </c>
      <c r="G52" s="2339"/>
      <c r="H52" s="2329"/>
      <c r="I52" s="1667"/>
      <c r="J52" s="2308">
        <v>1</v>
      </c>
      <c r="K52" s="3328" t="s">
        <v>1353</v>
      </c>
      <c r="L52" s="3328"/>
      <c r="M52" s="2310">
        <f ca="1">D48</f>
        <v>1448</v>
      </c>
      <c r="N52" s="2308" t="str">
        <f>E48</f>
        <v>销售额×税（费）率</v>
      </c>
      <c r="O52" s="2311">
        <f>F48</f>
        <v>5.5000000000000007E-2</v>
      </c>
      <c r="P52" s="682">
        <f ca="1">M52</f>
        <v>1448</v>
      </c>
    </row>
    <row r="53" spans="1:35" ht="12" customHeight="1">
      <c r="A53" s="2151" t="s">
        <v>1354</v>
      </c>
      <c r="B53" s="3289" t="s">
        <v>2288</v>
      </c>
      <c r="C53" s="3290"/>
      <c r="D53" s="1022">
        <f ca="1">ROUND(D45*'数据-取费表'!B41/(1+'数据-取费表'!C42),0)</f>
        <v>1448</v>
      </c>
      <c r="E53" s="1254" t="s">
        <v>1352</v>
      </c>
      <c r="F53" s="2338">
        <f>'数据-取费表'!B41</f>
        <v>5.5000000000000007E-2</v>
      </c>
      <c r="G53" s="2339"/>
      <c r="H53" s="2329"/>
      <c r="I53" s="1667"/>
      <c r="J53" s="2308">
        <v>2</v>
      </c>
      <c r="K53" s="3328" t="s">
        <v>1355</v>
      </c>
      <c r="L53" s="3328"/>
      <c r="M53" s="2310">
        <f t="shared" ref="M53:O54" ca="1" si="0">D55</f>
        <v>14</v>
      </c>
      <c r="N53" s="2308" t="str">
        <f t="shared" si="0"/>
        <v>销售额×税（费）率</v>
      </c>
      <c r="O53" s="2311">
        <f t="shared" si="0"/>
        <v>5.0000000000000001E-4</v>
      </c>
      <c r="P53" s="682">
        <f ca="1">M53</f>
        <v>14</v>
      </c>
    </row>
    <row r="54" spans="1:35" ht="12" customHeight="1">
      <c r="A54" s="2151" t="s">
        <v>1356</v>
      </c>
      <c r="B54" s="3289" t="s">
        <v>2289</v>
      </c>
      <c r="C54" s="3290"/>
      <c r="D54" s="1022">
        <f ca="1">C68</f>
        <v>1448</v>
      </c>
      <c r="E54" s="319" t="s">
        <v>1357</v>
      </c>
      <c r="F54" s="2338">
        <f>'数据-取费表'!B41</f>
        <v>5.5000000000000007E-2</v>
      </c>
      <c r="G54" s="2339"/>
      <c r="H54" s="2340"/>
      <c r="I54" s="1667"/>
      <c r="J54" s="2308">
        <v>3</v>
      </c>
      <c r="K54" s="3328" t="s">
        <v>1358</v>
      </c>
      <c r="L54" s="3328"/>
      <c r="M54" s="2310">
        <f t="shared" ca="1" si="0"/>
        <v>15669</v>
      </c>
      <c r="N54" s="2308" t="str">
        <f t="shared" si="0"/>
        <v>增值额×税（费）率</v>
      </c>
      <c r="O54" s="2312" t="str">
        <f t="shared" si="0"/>
        <v>——</v>
      </c>
      <c r="P54" s="682">
        <f ca="1">ROUND(D45/1.05*0.05,0)</f>
        <v>1316</v>
      </c>
    </row>
    <row r="55" spans="1:35" ht="24" customHeight="1">
      <c r="A55" s="3278" t="s">
        <v>1359</v>
      </c>
      <c r="B55" s="3279"/>
      <c r="C55" s="3279"/>
      <c r="D55" s="12">
        <f ca="1">IF(H55="个人住宅",0,ROUND(D45*I55,0))</f>
        <v>14</v>
      </c>
      <c r="E55" s="1254" t="s">
        <v>1360</v>
      </c>
      <c r="F55" s="2338">
        <f>IF(H55="正常",I55,"免征")</f>
        <v>5.0000000000000001E-4</v>
      </c>
      <c r="G55" s="2339"/>
      <c r="H55" s="2335" t="s">
        <v>3486</v>
      </c>
      <c r="I55" s="157">
        <f>'数据-取费表'!B49</f>
        <v>5.0000000000000001E-4</v>
      </c>
      <c r="J55" s="2308" t="str">
        <f>IF(H59="非个人房产","",4)</f>
        <v/>
      </c>
      <c r="K55" s="3328" t="str">
        <f>IF(H59="非个人房产","——","个人所得税")</f>
        <v>——</v>
      </c>
      <c r="L55" s="3328"/>
      <c r="M55" s="2313" t="str">
        <f>D59</f>
        <v>——</v>
      </c>
      <c r="N55" s="1881" t="str">
        <f>E59</f>
        <v>——</v>
      </c>
      <c r="O55" s="2314" t="str">
        <f>F59</f>
        <v>——</v>
      </c>
    </row>
    <row r="56" spans="1:35" ht="25.2">
      <c r="A56" s="3278" t="s">
        <v>1361</v>
      </c>
      <c r="B56" s="3279"/>
      <c r="C56" s="3279"/>
      <c r="D56" s="12">
        <f ca="1">IF(H56="个人住宅",D57,D58)</f>
        <v>15669</v>
      </c>
      <c r="E56" s="1254" t="s">
        <v>1362</v>
      </c>
      <c r="F56" s="2338" t="str">
        <f>IF(H56="正常",F58,"免征")</f>
        <v>——</v>
      </c>
      <c r="G56" s="2341" t="s">
        <v>1363</v>
      </c>
      <c r="H56" s="2342" t="s">
        <v>3486</v>
      </c>
      <c r="I56" s="1668"/>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3.2">
      <c r="A57" s="2151" t="s">
        <v>1339</v>
      </c>
      <c r="B57" s="3289" t="s">
        <v>1364</v>
      </c>
      <c r="C57" s="3290"/>
      <c r="D57" s="1476">
        <v>0</v>
      </c>
      <c r="E57" s="316" t="s">
        <v>1341</v>
      </c>
      <c r="F57" s="294"/>
      <c r="G57" s="2339"/>
      <c r="H57" s="2343"/>
      <c r="I57" s="1668"/>
      <c r="J57" s="3328">
        <f>IF(AND(J55="",J56=""),4,IF(项目基本情况!K6="上海银行",结果表!J56+1,结果表!J55+1))</f>
        <v>4</v>
      </c>
      <c r="K57" s="3328" t="s">
        <v>1365</v>
      </c>
      <c r="L57" s="2315" t="s">
        <v>1366</v>
      </c>
      <c r="M57" s="2316"/>
      <c r="N57" s="2317">
        <f ca="1">SUMIF(M52:M56,"&lt;9e307")</f>
        <v>17131</v>
      </c>
      <c r="O57" s="2318"/>
      <c r="P57" s="682">
        <f ca="1">P54+P52+P53</f>
        <v>2778</v>
      </c>
      <c r="Q57" s="682">
        <f ca="1">P57/M48</f>
        <v>0.10050651230101303</v>
      </c>
    </row>
    <row r="58" spans="1:35" ht="25.2">
      <c r="A58" s="2151" t="s">
        <v>1350</v>
      </c>
      <c r="B58" s="3289" t="s">
        <v>1367</v>
      </c>
      <c r="C58" s="3263"/>
      <c r="D58" s="12">
        <f ca="1">IF(H58="转让取得",C81,C97)</f>
        <v>15669</v>
      </c>
      <c r="E58" s="1254" t="s">
        <v>1362</v>
      </c>
      <c r="F58" s="294" t="s">
        <v>28</v>
      </c>
      <c r="G58" s="2339"/>
      <c r="H58" s="2342" t="s">
        <v>3520</v>
      </c>
      <c r="I58" s="1668"/>
      <c r="J58" s="3328"/>
      <c r="K58" s="3328"/>
      <c r="L58" s="2315" t="s">
        <v>1368</v>
      </c>
      <c r="M58" s="2319"/>
      <c r="N58" s="2320" t="str">
        <f ca="1">NUMBERSTRING(INT(N57*10000),2)&amp;"元整"</f>
        <v>壹亿柒仟壹佰叁拾壹万元整</v>
      </c>
      <c r="O58" s="2321"/>
    </row>
    <row r="59" spans="1:35" ht="24.6" thickBot="1">
      <c r="A59" s="3331" t="s">
        <v>1369</v>
      </c>
      <c r="B59" s="3332"/>
      <c r="C59" s="3332"/>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1363</v>
      </c>
      <c r="H59" s="2136" t="s">
        <v>3521</v>
      </c>
      <c r="I59" s="2135" t="s">
        <v>2134</v>
      </c>
      <c r="J59" s="3329">
        <f>J57+1</f>
        <v>5</v>
      </c>
      <c r="K59" s="3328" t="s">
        <v>1370</v>
      </c>
      <c r="L59" s="2308" t="s">
        <v>1366</v>
      </c>
      <c r="M59" s="2322"/>
      <c r="N59" s="2323">
        <f ca="1">M49-N57</f>
        <v>10509</v>
      </c>
      <c r="O59" s="2324"/>
      <c r="P59" s="682">
        <f ca="1">M48-P57</f>
        <v>24862</v>
      </c>
    </row>
    <row r="60" spans="1:35" ht="12" customHeight="1">
      <c r="A60" s="1669"/>
      <c r="B60" s="644"/>
      <c r="C60" s="644"/>
      <c r="D60" s="644"/>
      <c r="E60" s="1464"/>
      <c r="F60" s="1668"/>
      <c r="G60" s="1668"/>
      <c r="H60" s="151"/>
      <c r="I60" s="121"/>
      <c r="J60" s="3330"/>
      <c r="K60" s="3328"/>
      <c r="L60" s="2315" t="s">
        <v>1368</v>
      </c>
      <c r="M60" s="2319"/>
      <c r="N60" s="2320" t="str">
        <f ca="1">NUMBERSTRING(INT(N59*10000),2)&amp;"元整"</f>
        <v>壹亿零伍佰零玖万元整</v>
      </c>
      <c r="O60" s="2321"/>
    </row>
    <row r="61" spans="1:35" ht="13.8" thickBot="1">
      <c r="A61" s="3276" t="s">
        <v>1371</v>
      </c>
      <c r="B61" s="3276"/>
      <c r="C61" s="3276"/>
      <c r="D61" s="3276"/>
      <c r="E61" s="3276"/>
      <c r="F61" s="1668"/>
      <c r="G61" s="1668"/>
      <c r="H61" s="151"/>
      <c r="I61" s="121"/>
      <c r="J61" s="2308">
        <f>J59+1</f>
        <v>6</v>
      </c>
      <c r="K61" s="3328" t="s">
        <v>1372</v>
      </c>
      <c r="L61" s="3328"/>
      <c r="M61" s="2325"/>
      <c r="N61" s="2326">
        <f ca="1">ROUND(N59*10000/'数据-汇总表'!E3,0)</f>
        <v>2857</v>
      </c>
      <c r="O61" s="2327"/>
      <c r="P61" s="682">
        <f ca="1">ROUND(P59/L18*10000,0)</f>
        <v>21642</v>
      </c>
    </row>
    <row r="62" spans="1:35" ht="13.2">
      <c r="A62" s="3294" t="s">
        <v>1373</v>
      </c>
      <c r="B62" s="3295"/>
      <c r="C62" s="1863"/>
      <c r="D62" s="1863" t="s">
        <v>1374</v>
      </c>
      <c r="E62" s="158" t="s">
        <v>1375</v>
      </c>
      <c r="F62" s="1668"/>
      <c r="G62" s="1668"/>
      <c r="H62" s="151"/>
      <c r="I62" s="121"/>
    </row>
    <row r="63" spans="1:35" ht="13.2">
      <c r="A63" s="165" t="s">
        <v>330</v>
      </c>
      <c r="B63" s="159" t="s">
        <v>1376</v>
      </c>
      <c r="C63" s="2348">
        <f ca="1">ROUND((C64+C65)/(1+'数据-取费表'!C42),0)</f>
        <v>26324</v>
      </c>
      <c r="D63" s="159"/>
      <c r="E63" s="160"/>
      <c r="F63" s="1668"/>
      <c r="G63" s="1668"/>
      <c r="H63" s="151"/>
      <c r="I63" s="121"/>
      <c r="J63" s="3353" t="s">
        <v>1377</v>
      </c>
      <c r="K63" s="1243" t="s">
        <v>1378</v>
      </c>
      <c r="L63" s="1243">
        <f ca="1">IF(M49&gt;10000,M49*0.5%,IF(AND(M49&gt;1000,M49&lt;=10000),M49*1%,IF(AND(M49&gt;100,M49&lt;=1000),M49*3%,IF(AND(M49&gt;10,M49&lt;=100),M49*5%,M49*8%))))</f>
        <v>138.20000000000002</v>
      </c>
      <c r="M63" s="294">
        <f ca="1">ROUND(L63,1)</f>
        <v>138.19999999999999</v>
      </c>
      <c r="N63" s="2328"/>
      <c r="Z63" s="1621"/>
      <c r="AI63" s="1559"/>
    </row>
    <row r="64" spans="1:35" ht="14.25" customHeight="1">
      <c r="A64" s="161" t="s">
        <v>325</v>
      </c>
      <c r="B64" s="162" t="s">
        <v>1379</v>
      </c>
      <c r="C64" s="2349">
        <f ca="1">D45</f>
        <v>27640</v>
      </c>
      <c r="D64" s="162" t="s">
        <v>26</v>
      </c>
      <c r="E64" s="164"/>
      <c r="F64" s="1668"/>
      <c r="G64" s="1668"/>
      <c r="H64" s="151"/>
      <c r="I64" s="121"/>
      <c r="J64" s="3353"/>
      <c r="K64" s="1243" t="s">
        <v>1380</v>
      </c>
      <c r="L64" s="1243">
        <f ca="1">IF(M49&gt;2000,M49*0.5%,IF(AND(M49&gt;1000,M49&lt;=2000),M49*0.6%,IF(AND(M49&gt;500,M49&lt;=1000),M49*0.7%,IF(AND(M49&gt;200,M49&lt;=500),M49*0.8%,IF(AND(M49&gt;100,M49&lt;=200),M49*0.9%,IF(AND(M49&gt;50,M49&lt;=100),M49*1%,IF(AND(M49&gt;20,M49&lt;=50),M49*1.5%,IF(AND(M49&gt;10,M49&lt;=20),M49*2%,IF(AND(M49&gt;1,M49&lt;=10),M49*2.5%)))))))))</f>
        <v>138.20000000000002</v>
      </c>
      <c r="M64" s="294">
        <f t="shared" ref="M64:M65" ca="1" si="1">ROUND(L64,1)</f>
        <v>138.19999999999999</v>
      </c>
      <c r="N64" s="2329" t="s">
        <v>1381</v>
      </c>
      <c r="Z64" s="1621"/>
      <c r="AI64" s="1559"/>
    </row>
    <row r="65" spans="1:35" ht="14.25" customHeight="1">
      <c r="A65" s="161" t="s">
        <v>326</v>
      </c>
      <c r="B65" s="162" t="s">
        <v>1382</v>
      </c>
      <c r="C65" s="2350"/>
      <c r="D65" s="162"/>
      <c r="E65" s="164"/>
      <c r="F65" s="1668"/>
      <c r="G65" s="1668"/>
      <c r="H65" s="151"/>
      <c r="I65" s="121"/>
      <c r="J65" s="3353"/>
      <c r="K65" s="1243" t="s">
        <v>1383</v>
      </c>
      <c r="L65" s="1243">
        <f ca="1">IF(M49&gt;1000,M49*0.1%,IF(AND(M49&gt;500,M49&lt;=1000),M49*0.5%,IF(AND(M49&gt;50,M49&lt;=500),M49*1%,IF(AND(M49&gt;1,M49&lt;=50),M49*1.5%))))</f>
        <v>27.64</v>
      </c>
      <c r="M65" s="294">
        <f t="shared" ca="1" si="1"/>
        <v>27.6</v>
      </c>
      <c r="N65" s="2329" t="s">
        <v>1381</v>
      </c>
      <c r="Z65" s="1621"/>
      <c r="AI65" s="1559"/>
    </row>
    <row r="66" spans="1:35" ht="14.25" customHeight="1">
      <c r="A66" s="165" t="s">
        <v>327</v>
      </c>
      <c r="B66" s="166" t="s">
        <v>1384</v>
      </c>
      <c r="C66" s="2351"/>
      <c r="D66" s="166" t="s">
        <v>26</v>
      </c>
      <c r="E66" s="1249" t="s">
        <v>669</v>
      </c>
      <c r="F66" s="1668"/>
      <c r="G66" s="1668"/>
      <c r="H66" s="151"/>
      <c r="I66" s="121"/>
      <c r="J66" s="3353"/>
      <c r="K66" s="1243" t="s">
        <v>1385</v>
      </c>
      <c r="L66" s="1243">
        <f ca="1">M49*0.5%</f>
        <v>138.20000000000002</v>
      </c>
      <c r="M66" s="294">
        <f ca="1">IF(L66&gt;0.5,0.5,ROUND(L66,0))</f>
        <v>0.5</v>
      </c>
      <c r="N66" s="2329" t="s">
        <v>1386</v>
      </c>
      <c r="Z66" s="1621"/>
      <c r="AI66" s="1559"/>
    </row>
    <row r="67" spans="1:35" ht="14.25" customHeight="1">
      <c r="A67" s="165" t="s">
        <v>328</v>
      </c>
      <c r="B67" s="166" t="s">
        <v>1387</v>
      </c>
      <c r="C67" s="2352">
        <f ca="1">C63-C66</f>
        <v>26324</v>
      </c>
      <c r="D67" s="162" t="s">
        <v>26</v>
      </c>
      <c r="E67" s="164"/>
      <c r="F67" s="1668"/>
      <c r="G67" s="1668"/>
      <c r="H67" s="151"/>
      <c r="I67" s="121"/>
      <c r="J67" s="3353"/>
      <c r="K67" s="1243" t="s">
        <v>1388</v>
      </c>
      <c r="L67" s="1243">
        <f ca="1">IF(M49&gt;=10000,(8.25+(M49-10000)*0.01%),IF(AND(M49&gt;=8000,M49&lt;10000),(7.85+(M49-8000)*0.02%),IF(AND(M49&gt;=5000,M49&lt;8000),(6.65+(M49-5000)*0.04%),IF(AND(M49&gt;=2000,M49&lt;5000),(4.25+(PM49-2000)*0.08%),IF(AND(M49&gt;=1000,M49&lt;2000),(2.75+(M49-1000)*0.15%),IF(AND(M49&gt;=100,M49&lt;1000),(0.5+(M49-100)*0.25%),IF(AND(M49&gt;0,M49&lt;100),M49*0.5%)))))))</f>
        <v>10.013999999999999</v>
      </c>
      <c r="M67" s="294">
        <f ca="1">ROUND(L67*0.9,1)</f>
        <v>9</v>
      </c>
      <c r="N67" s="2328"/>
      <c r="Z67" s="1621"/>
      <c r="AI67" s="1559"/>
    </row>
    <row r="68" spans="1:35" ht="14.25" customHeight="1" thickBot="1">
      <c r="A68" s="168" t="s">
        <v>329</v>
      </c>
      <c r="B68" s="169" t="s">
        <v>1389</v>
      </c>
      <c r="C68" s="2353">
        <f ca="1">IF(C67&lt;=0,0,ROUND(C67*D68,0))</f>
        <v>1448</v>
      </c>
      <c r="D68" s="2354">
        <f>'数据-取费表'!B41</f>
        <v>5.5000000000000007E-2</v>
      </c>
      <c r="E68" s="170"/>
      <c r="F68" s="1668"/>
      <c r="G68" s="1668"/>
      <c r="H68" s="151"/>
      <c r="I68" s="121"/>
      <c r="J68" s="3353"/>
      <c r="K68" s="1243" t="s">
        <v>1390</v>
      </c>
      <c r="L68" s="1243">
        <f ca="1">IF(M49&gt;10000,M49*0.5%,IF(AND(M49&gt;5000,M49&lt;=10000),M49*1%,IF(AND(M49&gt;1000,M49&lt;=5000),M49*2%,IF(AND(M49&gt;200,M49&lt;=1000),M49*3%,M49*5%))))</f>
        <v>138.20000000000002</v>
      </c>
      <c r="M68" s="294">
        <f ca="1">ROUND(L68,1)</f>
        <v>138.19999999999999</v>
      </c>
      <c r="N68" s="2328"/>
      <c r="Z68" s="1621"/>
      <c r="AI68" s="1559"/>
    </row>
    <row r="69" spans="1:35" ht="16.5" customHeight="1">
      <c r="A69" s="1670"/>
      <c r="B69" s="1671"/>
      <c r="C69" s="1672"/>
      <c r="D69" s="1673"/>
      <c r="E69" s="1674"/>
      <c r="F69" s="1464"/>
      <c r="G69" s="1464"/>
      <c r="H69" s="1465"/>
      <c r="I69" s="644"/>
      <c r="J69" s="3353"/>
      <c r="K69" s="1243" t="s">
        <v>1391</v>
      </c>
      <c r="L69" s="1243"/>
      <c r="M69" s="294">
        <f ca="1">ROUND(SUM(M63:M68),0)</f>
        <v>452</v>
      </c>
      <c r="N69" s="2330">
        <f ca="1">M69/M49</f>
        <v>1.6353111432706222E-2</v>
      </c>
      <c r="Z69" s="1621"/>
      <c r="AI69" s="1559"/>
    </row>
    <row r="70" spans="1:35" s="640" customFormat="1" ht="14.4" thickBot="1">
      <c r="A70" s="3315" t="s">
        <v>1392</v>
      </c>
      <c r="B70" s="3316"/>
      <c r="C70" s="3316"/>
      <c r="D70" s="3316"/>
      <c r="E70" s="3316"/>
      <c r="F70" s="3316"/>
      <c r="G70" s="3316"/>
      <c r="H70" s="331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4" t="s">
        <v>1373</v>
      </c>
      <c r="B71" s="3295"/>
      <c r="C71" s="1863"/>
      <c r="D71" s="1863" t="s">
        <v>1374</v>
      </c>
      <c r="E71" s="171" t="s">
        <v>1375</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5" t="s">
        <v>330</v>
      </c>
      <c r="B72" s="166" t="s">
        <v>1393</v>
      </c>
      <c r="C72" s="2352">
        <f ca="1">ROUND(D45/(1+'数据-取费表'!C42),0)</f>
        <v>26324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5" t="s">
        <v>327</v>
      </c>
      <c r="B73" s="155" t="s">
        <v>1394</v>
      </c>
      <c r="C73" s="2352">
        <f ca="1">C74+C78</f>
        <v>132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1395</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61" t="s">
        <v>331</v>
      </c>
      <c r="B75" s="162" t="s">
        <v>1396</v>
      </c>
      <c r="C75" s="2355"/>
      <c r="D75" s="162" t="s">
        <v>26</v>
      </c>
      <c r="E75" s="176" t="s">
        <v>1397</v>
      </c>
      <c r="F75" s="2356"/>
      <c r="G75" s="176" t="s">
        <v>1398</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1399</v>
      </c>
      <c r="C76" s="162">
        <f>IF(F75="购房发票",ROUND(C75*H75*D76,0),0)</f>
        <v>0</v>
      </c>
      <c r="D76" s="2358">
        <v>0.05</v>
      </c>
      <c r="E76" s="3289" t="s">
        <v>1400</v>
      </c>
      <c r="F76" s="3263"/>
      <c r="G76" s="3263"/>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1403</v>
      </c>
      <c r="C78" s="2360">
        <f ca="1">ROUND(D45*D78/(1+'数据-取费表'!C42),0)</f>
        <v>132</v>
      </c>
      <c r="D78" s="2361">
        <f>'数据-取费表'!B43</f>
        <v>5.000000000000001E-3</v>
      </c>
      <c r="E78" s="3273" t="s">
        <v>1404</v>
      </c>
      <c r="F78" s="3274"/>
      <c r="G78" s="3274"/>
      <c r="H78" s="328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5" t="s">
        <v>334</v>
      </c>
      <c r="B79" s="166" t="s">
        <v>1405</v>
      </c>
      <c r="C79" s="2352">
        <f ca="1">C72-C73</f>
        <v>26192</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1406</v>
      </c>
      <c r="C80" s="2362">
        <f ca="1">IF(C79&lt;=0,0,C79/C73)</f>
        <v>198.42424242424244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8" t="s">
        <v>336</v>
      </c>
      <c r="B81" s="169" t="s">
        <v>1407</v>
      </c>
      <c r="C81" s="2363">
        <f ca="1">ROUND(IF(C79&lt;=0,0,IF(C80&gt;=200%,C79*60%-C73*35%,IF(C80&gt;=100%,C79*50%-C73*15%,IF(C80&gt;=50%,C79*40%-C73*5%,IF(C80&lt;50%,C79*30%,0))))),0)</f>
        <v>15669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5" t="s">
        <v>1408</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4" t="s">
        <v>1373</v>
      </c>
      <c r="B84" s="3295"/>
      <c r="C84" s="1863"/>
      <c r="D84" s="1863" t="s">
        <v>1374</v>
      </c>
      <c r="E84" s="171" t="s">
        <v>1375</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5" t="s">
        <v>330</v>
      </c>
      <c r="B85" s="166" t="s">
        <v>1393</v>
      </c>
      <c r="C85" s="2352">
        <f ca="1">ROUND(D45/(1+'数据-取费表'!C42),0)</f>
        <v>26324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5" t="s">
        <v>327</v>
      </c>
      <c r="B86" s="155" t="s">
        <v>1394</v>
      </c>
      <c r="C86" s="2352">
        <f ca="1">IF(H88="仅含出让金",C87+C90+C91+C92+C93+C94,C87+C91+C92+C93+C94)</f>
        <v>132</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61" t="s">
        <v>325</v>
      </c>
      <c r="B87" s="162" t="s">
        <v>1409</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61" t="s">
        <v>331</v>
      </c>
      <c r="B88" s="162" t="s">
        <v>1410</v>
      </c>
      <c r="C88" s="2366"/>
      <c r="D88" s="2361"/>
      <c r="E88" s="185" t="s">
        <v>1411</v>
      </c>
      <c r="F88" s="2146"/>
      <c r="G88" s="186" t="s">
        <v>1412</v>
      </c>
      <c r="H88" s="1682"/>
      <c r="I88" s="1679"/>
      <c r="J88" s="2306"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61" t="s">
        <v>332</v>
      </c>
      <c r="B89" s="162" t="s">
        <v>1401</v>
      </c>
      <c r="C89" s="2360">
        <f>ROUND(C88*D89,0)</f>
        <v>0</v>
      </c>
      <c r="D89" s="2361">
        <f>'数据-取费表'!B48+'数据-取费表'!B49</f>
        <v>3.0499999999999999E-2</v>
      </c>
      <c r="E89" s="185" t="s">
        <v>1413</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61" t="s">
        <v>326</v>
      </c>
      <c r="B90" s="162" t="s">
        <v>1414</v>
      </c>
      <c r="C90" s="2366"/>
      <c r="D90" s="2361"/>
      <c r="E90" s="185" t="str">
        <f>IF(H88="-","土地取得成本中已包含该笔费用"," ")</f>
        <v xml:space="preserve"> </v>
      </c>
      <c r="F90" s="2146"/>
      <c r="G90" s="3355" t="s">
        <v>2126</v>
      </c>
      <c r="H90" s="3356"/>
      <c r="I90" s="1679"/>
      <c r="J90" s="2306"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1415</v>
      </c>
      <c r="B91" s="162" t="s">
        <v>1416</v>
      </c>
      <c r="C91" s="2360">
        <f>IF(H91="——",成本法!C33,I91)</f>
        <v>0</v>
      </c>
      <c r="D91" s="2361"/>
      <c r="E91" s="3273" t="s">
        <v>1417</v>
      </c>
      <c r="F91" s="3274"/>
      <c r="G91" s="327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1418</v>
      </c>
      <c r="B92" s="162" t="s">
        <v>1419</v>
      </c>
      <c r="C92" s="2360">
        <f>ROUND((C87+C90+C91)*D92,0)</f>
        <v>0</v>
      </c>
      <c r="D92" s="2367"/>
      <c r="E92" s="3273" t="s">
        <v>1420</v>
      </c>
      <c r="F92" s="3274"/>
      <c r="G92" s="3274"/>
      <c r="H92" s="3283"/>
      <c r="I92" s="1679"/>
      <c r="J92" s="2307"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1421</v>
      </c>
      <c r="B93" s="162" t="s">
        <v>1403</v>
      </c>
      <c r="C93" s="2360">
        <f ca="1">ROUND(D45*D93/(1+'数据-取费表'!C42),0)</f>
        <v>132</v>
      </c>
      <c r="D93" s="2361">
        <f>'数据-取费表'!B43</f>
        <v>5.000000000000001E-3</v>
      </c>
      <c r="E93" s="3273" t="s">
        <v>1404</v>
      </c>
      <c r="F93" s="3274"/>
      <c r="G93" s="3274"/>
      <c r="H93" s="328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1422</v>
      </c>
      <c r="B94" s="162" t="s">
        <v>1423</v>
      </c>
      <c r="C94" s="2366">
        <f>ROUND((C87+C90+C91)*D94,0)</f>
        <v>0</v>
      </c>
      <c r="D94" s="2361">
        <v>0.2</v>
      </c>
      <c r="E94" s="3284" t="s">
        <v>1424</v>
      </c>
      <c r="F94" s="3285"/>
      <c r="G94" s="3285"/>
      <c r="H94" s="32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5" t="s">
        <v>334</v>
      </c>
      <c r="B95" s="166" t="s">
        <v>1405</v>
      </c>
      <c r="C95" s="2352">
        <f ca="1">ROUND(C85-C86,0)</f>
        <v>26192</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1406</v>
      </c>
      <c r="C96" s="2362">
        <f ca="1">IF(C95&lt;=0,0,C95/C86)</f>
        <v>198.42424242424244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8" t="s">
        <v>336</v>
      </c>
      <c r="B97" s="169" t="s">
        <v>1407</v>
      </c>
      <c r="C97" s="2363">
        <f ca="1">ROUND(IF(C95&lt;=0,0,IF(C96&gt;=200%,C95*60%-C86*35%,IF(C96&gt;=100%,C95*50%-C86*15%,IF(C96&gt;=50%,C95*40%-C86*5%,IF(C96&lt;50%,C95*30%,0))))),0)</f>
        <v>15669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1425</v>
      </c>
      <c r="B99" s="644"/>
      <c r="C99" s="644"/>
      <c r="D99" s="644"/>
      <c r="E99" s="1464"/>
      <c r="F99" s="1464"/>
      <c r="G99" s="1464"/>
      <c r="H99" s="1465"/>
      <c r="I99" s="121"/>
    </row>
    <row r="100" spans="1:35" ht="18.75" customHeight="1">
      <c r="A100" s="3257" t="s">
        <v>1426</v>
      </c>
      <c r="B100" s="3258"/>
      <c r="C100" s="3258"/>
      <c r="D100" s="3275"/>
      <c r="E100" s="3258" t="s">
        <v>1427</v>
      </c>
      <c r="F100" s="3258"/>
      <c r="G100" s="3258"/>
      <c r="H100" s="3275"/>
      <c r="I100" s="121"/>
    </row>
    <row r="101" spans="1:35" ht="18.75" customHeight="1">
      <c r="A101" s="3336" t="s">
        <v>1428</v>
      </c>
      <c r="B101" s="3337"/>
      <c r="C101" s="2369" t="str">
        <f>C4</f>
        <v>比较法-办公</v>
      </c>
      <c r="D101" s="2370" t="str">
        <f>D4</f>
        <v>收益法（12号楼）</v>
      </c>
      <c r="E101" s="3350" t="s">
        <v>1429</v>
      </c>
      <c r="F101" s="3307"/>
      <c r="G101" s="1685" t="s">
        <v>1430</v>
      </c>
      <c r="H101" s="2379">
        <f ca="1">H118</f>
        <v>27640</v>
      </c>
      <c r="I101" s="121"/>
    </row>
    <row r="102" spans="1:35" ht="18.75" customHeight="1">
      <c r="A102" s="3309" t="s">
        <v>1431</v>
      </c>
      <c r="B102" s="2368" t="s">
        <v>1430</v>
      </c>
      <c r="C102" s="2369">
        <f ca="1">IF(D32="楼面单价",ROUND(C19,0),C19)</f>
        <v>30059</v>
      </c>
      <c r="D102" s="2370">
        <f ca="1">IF(D32="楼面单价",ROUND(D19,0),D19)</f>
        <v>21997</v>
      </c>
      <c r="E102" s="3350"/>
      <c r="F102" s="3307"/>
      <c r="G102" s="1685" t="s">
        <v>1432</v>
      </c>
      <c r="H102" s="2339">
        <f ca="1">I118</f>
        <v>24060</v>
      </c>
      <c r="I102" s="121"/>
    </row>
    <row r="103" spans="1:35" ht="42.75" customHeight="1">
      <c r="A103" s="3309"/>
      <c r="B103" s="2368" t="s">
        <v>1432</v>
      </c>
      <c r="C103" s="2371">
        <f ca="1">C20</f>
        <v>26166</v>
      </c>
      <c r="D103" s="2372">
        <f ca="1">D20</f>
        <v>19148</v>
      </c>
      <c r="E103" s="3344" t="s">
        <v>1433</v>
      </c>
      <c r="F103" s="3345"/>
      <c r="G103" s="1686" t="s">
        <v>1434</v>
      </c>
      <c r="H103" s="2379">
        <f>IF(D36="正常操作",H104+H105+H106,H105+H106)</f>
        <v>0</v>
      </c>
      <c r="I103" s="121"/>
    </row>
    <row r="104" spans="1:35" ht="18.75" customHeight="1">
      <c r="A104" s="3309" t="s">
        <v>1435</v>
      </c>
      <c r="B104" s="2373" t="s">
        <v>1430</v>
      </c>
      <c r="C104" s="2374">
        <f ca="1">H118</f>
        <v>27640</v>
      </c>
      <c r="D104" s="2375"/>
      <c r="E104" s="1553" t="s">
        <v>1436</v>
      </c>
      <c r="F104" s="1546"/>
      <c r="G104" s="1686" t="s">
        <v>1434</v>
      </c>
      <c r="H104" s="2380">
        <f>IF(D36="同一抵押权人同一抵押物续贷",C36&amp;"（续贷，未扣减，详见特别提示）",C36)</f>
        <v>0</v>
      </c>
      <c r="I104" s="121"/>
    </row>
    <row r="105" spans="1:35" ht="18.75" customHeight="1" thickBot="1">
      <c r="A105" s="3310"/>
      <c r="B105" s="2376" t="s">
        <v>1432</v>
      </c>
      <c r="C105" s="2377">
        <f ca="1">I118</f>
        <v>24060</v>
      </c>
      <c r="D105" s="2378"/>
      <c r="E105" s="1553" t="s">
        <v>1437</v>
      </c>
      <c r="F105" s="1546"/>
      <c r="G105" s="1686" t="s">
        <v>1434</v>
      </c>
      <c r="H105" s="2381">
        <f>C37</f>
        <v>0</v>
      </c>
      <c r="I105" s="121"/>
    </row>
    <row r="106" spans="1:35" ht="18.75" customHeight="1">
      <c r="A106" s="644" t="s">
        <v>1438</v>
      </c>
      <c r="B106" s="644"/>
      <c r="C106" s="644"/>
      <c r="D106" s="644"/>
      <c r="E106" s="1687" t="s">
        <v>1439</v>
      </c>
      <c r="F106" s="1546"/>
      <c r="G106" s="1686" t="s">
        <v>1434</v>
      </c>
      <c r="H106" s="2381">
        <f>C38</f>
        <v>0</v>
      </c>
      <c r="I106" s="121"/>
    </row>
    <row r="107" spans="1:35" ht="18.75" customHeight="1">
      <c r="A107" s="121"/>
      <c r="B107" s="121"/>
      <c r="C107" s="121"/>
      <c r="D107" s="121"/>
      <c r="E107" s="3306" t="str">
        <f>IF(项目基本情况!E8="已注销","——","3.房地产抵押价值")</f>
        <v>3.房地产抵押价值</v>
      </c>
      <c r="F107" s="3307"/>
      <c r="G107" s="1685" t="s">
        <v>1430</v>
      </c>
      <c r="H107" s="2379">
        <f ca="1">IF(E107="——","——",H101-H103)</f>
        <v>27640</v>
      </c>
      <c r="I107" s="121"/>
    </row>
    <row r="108" spans="1:35" ht="18.75" customHeight="1">
      <c r="A108" s="121"/>
      <c r="B108" s="121"/>
      <c r="C108" s="121"/>
      <c r="D108" s="121"/>
      <c r="E108" s="3306"/>
      <c r="F108" s="3307"/>
      <c r="G108" s="1685" t="s">
        <v>1432</v>
      </c>
      <c r="H108" s="2339">
        <f ca="1">IF(H107=H101,H102,ROUND(H107*10000/'数据-汇总表'!E3,0))</f>
        <v>24060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5" t="s">
        <v>1430</v>
      </c>
      <c r="H109" s="2382" t="str">
        <f>IF(E109="——","——",H101-H105-H106)</f>
        <v>——</v>
      </c>
      <c r="I109" s="121"/>
    </row>
    <row r="110" spans="1:35" ht="18.75" customHeight="1">
      <c r="A110" s="121"/>
      <c r="B110" s="121"/>
      <c r="C110" s="121"/>
      <c r="D110" s="121"/>
      <c r="E110" s="3306"/>
      <c r="F110" s="3307"/>
      <c r="G110" s="1685" t="s">
        <v>1432</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5" t="s">
        <v>1430</v>
      </c>
      <c r="H111" s="2379" t="str">
        <f>IF(E111="——","——",N59)</f>
        <v>——</v>
      </c>
      <c r="I111" s="121"/>
    </row>
    <row r="112" spans="1:35" ht="18.75" customHeight="1" thickBot="1">
      <c r="A112" s="121"/>
      <c r="B112" s="121"/>
      <c r="C112" s="121"/>
      <c r="D112" s="121"/>
      <c r="E112" s="3339"/>
      <c r="F112" s="3340"/>
      <c r="G112" s="1688" t="s">
        <v>1432</v>
      </c>
      <c r="H112" s="2383" t="str">
        <f>IF(E111="——","——",N61)</f>
        <v>——</v>
      </c>
      <c r="I112" s="121"/>
    </row>
    <row r="113" spans="1:27" ht="18.75" customHeight="1">
      <c r="A113" s="121"/>
      <c r="B113" s="121"/>
      <c r="C113" s="121"/>
      <c r="D113" s="121"/>
      <c r="E113" s="3311" t="s">
        <v>1438</v>
      </c>
      <c r="F113" s="3311"/>
      <c r="G113" s="3311"/>
      <c r="H113" s="3311"/>
      <c r="I113" s="121"/>
    </row>
    <row r="114" spans="1:27" ht="3.75" customHeight="1">
      <c r="A114" s="644"/>
      <c r="B114" s="644"/>
      <c r="C114" s="644"/>
      <c r="D114" s="644"/>
      <c r="E114" s="1669"/>
      <c r="F114" s="1669"/>
      <c r="G114" s="1669"/>
      <c r="H114" s="1669"/>
      <c r="I114" s="644"/>
    </row>
    <row r="115" spans="1:27" ht="18.75" customHeight="1">
      <c r="A115" s="3321" t="s">
        <v>1440</v>
      </c>
      <c r="B115" s="3322"/>
      <c r="C115" s="3322"/>
      <c r="D115" s="3322"/>
      <c r="E115" s="3322"/>
      <c r="F115" s="3322"/>
      <c r="G115" s="3322"/>
      <c r="H115" s="3322"/>
      <c r="I115" s="3323"/>
    </row>
    <row r="116" spans="1:27" ht="27" customHeight="1">
      <c r="A116" s="3277" t="s">
        <v>1441</v>
      </c>
      <c r="B116" s="3312" t="s">
        <v>1442</v>
      </c>
      <c r="C116" s="3312" t="s">
        <v>1443</v>
      </c>
      <c r="D116" s="3325" t="s">
        <v>1444</v>
      </c>
      <c r="E116" s="3326"/>
      <c r="F116" s="3320" t="s">
        <v>1445</v>
      </c>
      <c r="G116" s="3320"/>
      <c r="H116" s="3277" t="s">
        <v>1446</v>
      </c>
      <c r="I116" s="3277"/>
    </row>
    <row r="117" spans="1:27" ht="18.75" customHeight="1">
      <c r="A117" s="3277"/>
      <c r="B117" s="3313"/>
      <c r="C117" s="3313"/>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11487.92</v>
      </c>
      <c r="C118" s="2148">
        <f>M19</f>
        <v>5422.86</v>
      </c>
      <c r="D118" s="2148">
        <f ca="1">ROUND(IF(D32="总价",C34,E118*B118/10000),0)</f>
        <v>14539</v>
      </c>
      <c r="E118" s="2148">
        <f ca="1">ROUND(IF(C33="自定义",IF(D32="楼面单价",C34,D118*10000/B118),I118-G118),0)</f>
        <v>12656</v>
      </c>
      <c r="F118" s="2148">
        <f ca="1">ROUND(IF(D32="总价",C35,G118*B118/10000),0)</f>
        <v>13101</v>
      </c>
      <c r="G118" s="2148">
        <f ca="1">ROUND(IF(D32="楼面单价",C35,F118*10000/B118),0)</f>
        <v>11404</v>
      </c>
      <c r="H118" s="2148">
        <f ca="1">ROUND(IF(D32="总价",C32,I118*B118/10000),0)</f>
        <v>27640</v>
      </c>
      <c r="I118" s="2148">
        <f ca="1">ROUND(IF(D32="楼面单价",C32,H118*10000/B118),0)</f>
        <v>24060</v>
      </c>
    </row>
    <row r="119" spans="1:27" ht="18.75" customHeight="1">
      <c r="A119" s="3277" t="s">
        <v>1450</v>
      </c>
      <c r="B119" s="3277"/>
      <c r="C119" s="3277"/>
      <c r="D119" s="3317" t="str">
        <f ca="1">NUMBERSTRING(INT(D118*10000),2)&amp;"元整"</f>
        <v>壹亿肆仟伍佰叁拾玖万元整</v>
      </c>
      <c r="E119" s="3319"/>
      <c r="F119" s="3317" t="str">
        <f ca="1">NUMBERSTRING(INT(F118*10000),2)&amp;"元整"</f>
        <v>壹亿叁仟壹佰零壹万元整</v>
      </c>
      <c r="G119" s="3319"/>
      <c r="H119" s="3317" t="str">
        <f ca="1">NUMBERSTRING(INT(H118*10000),2)&amp;"元整"</f>
        <v>贰亿柒仟陆佰肆拾万元整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7" t="s">
        <v>1450</v>
      </c>
      <c r="B121" s="3318"/>
      <c r="C121" s="3319"/>
      <c r="D121" s="3317" t="str">
        <f>IF(D120=0,"零元整",NUMBERSTRING(INT(D120*10000),2)&amp;"元整")</f>
        <v>零元整</v>
      </c>
      <c r="E121" s="3318"/>
      <c r="F121" s="3318"/>
      <c r="G121" s="3318"/>
      <c r="H121" s="3318"/>
      <c r="I121" s="3319"/>
      <c r="AA121" s="682"/>
    </row>
    <row r="122" spans="1:27" ht="18.75" customHeight="1">
      <c r="A122" s="3308" t="str">
        <f>IF(项目基本情况!B9="房地产市场价值","",MID(E107,3,LEN(E107)-2))</f>
        <v>房地产抵押价值</v>
      </c>
      <c r="B122" s="3308"/>
      <c r="C122" s="3308"/>
      <c r="D122" s="3341">
        <f ca="1">H107</f>
        <v>27640</v>
      </c>
      <c r="E122" s="3342"/>
      <c r="F122" s="3342"/>
      <c r="G122" s="3342"/>
      <c r="H122" s="3342"/>
      <c r="I122" s="3343"/>
      <c r="AA122" s="682"/>
    </row>
    <row r="123" spans="1:27" ht="18.75" customHeight="1">
      <c r="A123" s="3277" t="s">
        <v>1450</v>
      </c>
      <c r="B123" s="3277"/>
      <c r="C123" s="3277"/>
      <c r="D123" s="3317" t="str">
        <f ca="1">NUMBERSTRING(INT(D122*10000),2)&amp;"元整"</f>
        <v>贰亿柒仟陆佰肆拾万元整</v>
      </c>
      <c r="E123" s="3318"/>
      <c r="F123" s="3318"/>
      <c r="G123" s="3318"/>
      <c r="H123" s="3318"/>
      <c r="I123" s="3319"/>
      <c r="AA123" s="682"/>
    </row>
    <row r="124" spans="1:27" ht="18.75" customHeight="1">
      <c r="A124" s="3308" t="str">
        <f>IF(项目基本情况!B9="房地产市场价值","",MID(E109,3,LEN(E109)-2))</f>
        <v/>
      </c>
      <c r="B124" s="3308"/>
      <c r="C124" s="3308"/>
      <c r="D124" s="3341" t="str">
        <f>H109</f>
        <v>——</v>
      </c>
      <c r="E124" s="3342"/>
      <c r="F124" s="3342"/>
      <c r="G124" s="3342"/>
      <c r="H124" s="3342"/>
      <c r="I124" s="3343"/>
      <c r="AA124" s="682"/>
    </row>
    <row r="125" spans="1:27" ht="18.75" customHeight="1">
      <c r="A125" s="3277" t="s">
        <v>1450</v>
      </c>
      <c r="B125" s="3277"/>
      <c r="C125" s="3277"/>
      <c r="D125" s="3317" t="e">
        <f>NUMBERSTRING(INT(D124*10000),2)&amp;"元整"</f>
        <v>#VALUE!</v>
      </c>
      <c r="E125" s="3318"/>
      <c r="F125" s="3318"/>
      <c r="G125" s="3318"/>
      <c r="H125" s="3318"/>
      <c r="I125" s="3319"/>
      <c r="AA125" s="682"/>
    </row>
    <row r="126" spans="1:27" ht="18.75" customHeight="1">
      <c r="A126" s="3308" t="str">
        <f>IF(项目基本情况!B9="房地产市场价值","",MID(E111,3,LEN(E111)-2))</f>
        <v/>
      </c>
      <c r="B126" s="3308"/>
      <c r="C126" s="3308"/>
      <c r="D126" s="3341" t="str">
        <f>H111</f>
        <v>——</v>
      </c>
      <c r="E126" s="3342"/>
      <c r="F126" s="3342"/>
      <c r="G126" s="3342"/>
      <c r="H126" s="3342"/>
      <c r="I126" s="3343"/>
      <c r="AA126" s="682"/>
    </row>
    <row r="127" spans="1:27" ht="18.75" customHeight="1">
      <c r="A127" s="3277" t="s">
        <v>1450</v>
      </c>
      <c r="B127" s="3277"/>
      <c r="C127" s="3277"/>
      <c r="D127" s="3317" t="e">
        <f>NUMBERSTRING(INT(D126*10000),2)&amp;"元整"</f>
        <v>#VALUE!</v>
      </c>
      <c r="E127" s="3318"/>
      <c r="F127" s="3318"/>
      <c r="G127" s="3318"/>
      <c r="H127" s="3318"/>
      <c r="I127" s="3319"/>
      <c r="AA127" s="682"/>
    </row>
    <row r="128" spans="1:27" ht="21.75" customHeight="1">
      <c r="A128" s="3324" t="s">
        <v>1451</v>
      </c>
      <c r="B128" s="3324"/>
      <c r="C128" s="3324"/>
      <c r="D128" s="3324"/>
      <c r="E128" s="3324"/>
      <c r="F128" s="3324"/>
      <c r="G128" s="3324"/>
      <c r="H128" s="3324"/>
      <c r="I128" s="3324"/>
      <c r="AA128" s="682"/>
    </row>
    <row r="129" spans="1:35" ht="21.75" customHeight="1">
      <c r="A129" s="1689" t="s">
        <v>1452</v>
      </c>
      <c r="B129" s="1690"/>
      <c r="C129" s="1691" t="s">
        <v>1453</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1454</v>
      </c>
      <c r="G135" s="1704"/>
      <c r="H135" s="1704"/>
      <c r="I135" s="1705" t="s">
        <v>1455</v>
      </c>
    </row>
    <row r="136" spans="1:35" ht="21.75" customHeight="1">
      <c r="A136" s="682"/>
      <c r="B136" s="1706" t="s">
        <v>1456</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1457</v>
      </c>
    </row>
    <row r="139" spans="1:35" ht="21.75" customHeight="1">
      <c r="A139" s="682"/>
      <c r="B139" s="1706" t="s">
        <v>1458</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1457</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2"/>
      <c r="C1" s="1715" t="s">
        <v>1561</v>
      </c>
      <c r="D1" s="190"/>
      <c r="E1" s="190"/>
      <c r="F1" s="190"/>
      <c r="G1" s="1060">
        <f>MATCH(B1,'数据-取费表'!A6:A16,0)+5</f>
        <v>8</v>
      </c>
      <c r="H1" s="996" t="str">
        <f>IF(ISERROR(FIND("住宅",B1)),"非住宅","住宅")</f>
        <v>非住宅</v>
      </c>
    </row>
    <row r="2" spans="1:8" s="192" customFormat="1" ht="18" customHeight="1">
      <c r="A2" s="193" t="s">
        <v>1460</v>
      </c>
      <c r="B2" s="3120">
        <f ca="1">ROUND(IF(D2="——",C52/10000,C52/10000-E2),4)</f>
        <v>28184.138800000001</v>
      </c>
      <c r="C2" s="191" t="s">
        <v>1461</v>
      </c>
      <c r="D2" s="1709" t="s">
        <v>43</v>
      </c>
      <c r="E2" s="1087" t="e">
        <f ca="1">SUMIF(INDIRECT("'"&amp;G2&amp;"'"&amp;"!A:A"),"承租人权益价值",INDIRECT("'"&amp;G2&amp;"'"&amp;"!c:c"))</f>
        <v>#REF!</v>
      </c>
      <c r="F2" s="1710" t="s">
        <v>1461</v>
      </c>
      <c r="G2" s="1711"/>
    </row>
    <row r="3" spans="1:8" s="192" customFormat="1" ht="18" customHeight="1" thickBot="1">
      <c r="A3" s="195" t="s">
        <v>1462</v>
      </c>
      <c r="B3" s="196">
        <f ca="1">ROUND(B2*10000/(IF(B1="",'数据-汇总表'!E3,INDIRECT("'数据-取费表'!k"&amp;$G$1))),0)</f>
        <v>7663</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7356172</v>
      </c>
      <c r="D5" s="203" t="s">
        <v>1467</v>
      </c>
      <c r="E5" s="204" t="s">
        <v>1468</v>
      </c>
      <c r="F5" s="204" t="s">
        <v>1469</v>
      </c>
      <c r="G5" s="205"/>
    </row>
    <row r="6" spans="1:8" s="206" customFormat="1" ht="13.5" customHeight="1">
      <c r="A6" s="730" t="s">
        <v>1470</v>
      </c>
      <c r="B6" s="207" t="s">
        <v>1471</v>
      </c>
      <c r="C6" s="208"/>
      <c r="D6" s="209"/>
      <c r="E6" s="210"/>
      <c r="F6" s="210"/>
      <c r="G6" s="211"/>
    </row>
    <row r="7" spans="1:8" s="206" customFormat="1" ht="13.5" customHeight="1">
      <c r="A7" s="730" t="s">
        <v>1472</v>
      </c>
      <c r="B7" s="207" t="s">
        <v>1473</v>
      </c>
      <c r="C7" s="212">
        <f>ROUND(C6*F7,0)</f>
        <v>0</v>
      </c>
      <c r="D7" s="212"/>
      <c r="E7" s="210"/>
      <c r="F7" s="213">
        <f>IF(项目基本情况!B8="出让",0,'数据-取费表'!B48+'数据-取费表'!B49)</f>
        <v>3.0499999999999999E-2</v>
      </c>
      <c r="G7" s="211"/>
    </row>
    <row r="8" spans="1:8" s="215" customFormat="1">
      <c r="A8" s="730" t="s">
        <v>1474</v>
      </c>
      <c r="B8" s="207" t="s">
        <v>1475</v>
      </c>
      <c r="C8" s="212">
        <f ca="1">IF(G8="已包含在土地购买价格中",0,C9+C10)</f>
        <v>7356172</v>
      </c>
      <c r="D8" s="214"/>
      <c r="E8" s="212"/>
      <c r="F8" s="213"/>
      <c r="G8" s="1712"/>
    </row>
    <row r="9" spans="1:8" s="206" customFormat="1" ht="13.5" customHeight="1">
      <c r="A9" s="731" t="s">
        <v>355</v>
      </c>
      <c r="B9" s="216" t="s">
        <v>1476</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1478</v>
      </c>
      <c r="C10" s="217">
        <f ca="1">ROUND(D10*E10,0)</f>
        <v>7356172</v>
      </c>
      <c r="D10" s="793">
        <f ca="1">IF(B1="",'数据-汇总表'!E6,IF(INDIRECT("'数据-取费表'!c"&amp;$G$1)="住宅",INDIRECT("'数据-取费表'!s"&amp;$G$1),INDIRECT("'数据-取费表'!k"&amp;$G$1)+INDIRECT("'数据-取费表'!s"&amp;$G$1)))</f>
        <v>36780.86</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7356172</v>
      </c>
      <c r="D19" s="204">
        <f ca="1">D9+D10</f>
        <v>36780.86</v>
      </c>
      <c r="E19" s="203">
        <f>'数据-取费表'!B31</f>
        <v>200</v>
      </c>
      <c r="F19" s="223"/>
      <c r="G19" s="1712"/>
    </row>
    <row r="20" spans="1:7" s="206" customFormat="1" ht="13.5" customHeight="1">
      <c r="A20" s="247" t="s">
        <v>1572</v>
      </c>
      <c r="B20" s="202" t="s">
        <v>1573</v>
      </c>
      <c r="C20" s="224">
        <f ca="1">ROUND((C5+C19)*F20,0)</f>
        <v>294247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935426</v>
      </c>
      <c r="D22" s="227">
        <f ca="1">C26</f>
        <v>5.9999999999999995E-4</v>
      </c>
      <c r="E22" s="228" t="s">
        <v>1577</v>
      </c>
      <c r="F22" s="229">
        <f ca="1">'数据-取费表'!B40</f>
        <v>3.1E-2</v>
      </c>
      <c r="G22" s="226" t="str">
        <f>IF('数据-取费表'!B22&lt;=1,"单利计息","复利计息")</f>
        <v>复利计息</v>
      </c>
    </row>
    <row r="23" spans="1:7" s="206" customFormat="1" ht="13.5" customHeight="1">
      <c r="A23" s="732" t="s">
        <v>1470</v>
      </c>
      <c r="B23" s="207" t="s">
        <v>1581</v>
      </c>
      <c r="C23" s="230">
        <f ca="1">ROUND(IF('数据-取费表'!B22&lt;=1,C5*F22*'数据-取费表'!B22,C5*(POWER((1+F22),'数据-取费表'!B22)-1)),0)</f>
        <v>463152</v>
      </c>
      <c r="D23" s="230"/>
      <c r="E23" s="230"/>
      <c r="F23" s="231"/>
      <c r="G23" s="232" t="s">
        <v>1582</v>
      </c>
    </row>
    <row r="24" spans="1:7" s="206" customFormat="1" ht="13.5" customHeight="1">
      <c r="A24" s="732" t="s">
        <v>1472</v>
      </c>
      <c r="B24" s="207" t="s">
        <v>1583</v>
      </c>
      <c r="C24" s="230">
        <f ca="1">ROUND(IF('数据-取费表'!B22&lt;=1,C19*F22*('数据-取费表'!B19/2+'数据-取费表'!B20),C19*(POWER((1+F22),('数据-取费表'!B19/2+'数据-取费表'!B20))-1)),0)</f>
        <v>463152</v>
      </c>
      <c r="D24" s="230"/>
      <c r="E24" s="230"/>
      <c r="F24" s="231"/>
      <c r="G24" s="232" t="s">
        <v>1584</v>
      </c>
    </row>
    <row r="25" spans="1:7" s="206" customFormat="1" ht="24">
      <c r="A25" s="732" t="s">
        <v>1474</v>
      </c>
      <c r="B25" s="207" t="s">
        <v>1585</v>
      </c>
      <c r="C25" s="230">
        <f ca="1">ROUND(IF('数据-取费表'!B22&lt;=1,C20*F22*'数据-取费表'!B22/2,C20*(POWER((1+F22),'数据-取费表'!B22/2)-1)),0)</f>
        <v>9122</v>
      </c>
      <c r="D25" s="230"/>
      <c r="E25" s="233"/>
      <c r="F25" s="231"/>
      <c r="G25" s="234" t="s">
        <v>1586</v>
      </c>
    </row>
    <row r="26" spans="1:7" s="206" customFormat="1">
      <c r="A26" s="732" t="s">
        <v>350</v>
      </c>
      <c r="B26" s="207" t="s">
        <v>1509</v>
      </c>
      <c r="C26" s="230">
        <f ca="1">ROUND(IF('数据-取费表'!B22&lt;=1,F21*F22*'数据-取费表'!B22/2,F21*(POWER((1+F22),'数据-取费表'!B22/2)-1)),4)</f>
        <v>5.9999999999999995E-4</v>
      </c>
      <c r="D26" s="230"/>
      <c r="E26" s="233"/>
      <c r="F26" s="231"/>
      <c r="G26" s="235"/>
    </row>
    <row r="27" spans="1:7" s="206" customFormat="1" ht="26.4">
      <c r="A27" s="247" t="s">
        <v>1510</v>
      </c>
      <c r="B27" s="236" t="s">
        <v>1511</v>
      </c>
      <c r="C27" s="237">
        <f ca="1">C28</f>
        <v>1650725</v>
      </c>
      <c r="D27" s="227">
        <f ca="1">C29</f>
        <v>2.2000000000000001E-3</v>
      </c>
      <c r="E27" s="228" t="s">
        <v>1512</v>
      </c>
      <c r="F27" s="238">
        <f ca="1">IF(B1="",'数据-取费表'!Q16,INDIRECT("'数据-取费表'!q"&amp;$G$1))</f>
        <v>0.11</v>
      </c>
      <c r="G27" s="239" t="s">
        <v>1513</v>
      </c>
    </row>
    <row r="28" spans="1:7" s="206" customFormat="1" ht="13.5" customHeight="1">
      <c r="A28" s="732" t="s">
        <v>346</v>
      </c>
      <c r="B28" s="240" t="s">
        <v>1514</v>
      </c>
      <c r="C28" s="241">
        <f ca="1">ROUND((C5+C19+C20)*F27,0)</f>
        <v>1650725</v>
      </c>
      <c r="D28" s="227"/>
      <c r="E28" s="228"/>
      <c r="F28" s="238"/>
      <c r="G28" s="239"/>
    </row>
    <row r="29" spans="1:7" s="206" customFormat="1" ht="13.5" customHeight="1">
      <c r="A29" s="732" t="s">
        <v>347</v>
      </c>
      <c r="B29" s="240" t="s">
        <v>1515</v>
      </c>
      <c r="C29" s="230">
        <f ca="1">ROUND(C21*F27,4)</f>
        <v>2.2000000000000001E-3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19023294</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245696145</v>
      </c>
      <c r="D33" s="224"/>
      <c r="E33" s="204"/>
      <c r="F33" s="233"/>
      <c r="G33" s="226"/>
    </row>
    <row r="34" spans="1:7" s="250" customFormat="1" ht="13.5" customHeight="1">
      <c r="A34" s="732" t="s">
        <v>346</v>
      </c>
      <c r="B34" s="207" t="s">
        <v>1523</v>
      </c>
      <c r="C34" s="212">
        <f ca="1">ROUND(IF(B1="",SUMPRODUCT('数据-取费表'!K6:K14,'数据-取费表'!L6:L14),INDIRECT("'数据-取费表'!l"&amp;$G$1)*INDIRECT("'数据-取费表'!k"&amp;$G$1)+'数据-取费表'!L14*INDIRECT("'数据-取费表'!S"&amp;$G$1)),0)</f>
        <v>220685160</v>
      </c>
      <c r="D34" s="209"/>
      <c r="E34" s="212"/>
      <c r="F34" s="249"/>
      <c r="G34" s="211"/>
    </row>
    <row r="35" spans="1:7" ht="13.5" customHeight="1">
      <c r="A35" s="732" t="s">
        <v>351</v>
      </c>
      <c r="B35" s="207" t="s">
        <v>1525</v>
      </c>
      <c r="C35" s="212">
        <f ca="1">ROUND(C34*F35,0)</f>
        <v>11034258</v>
      </c>
      <c r="D35" s="212"/>
      <c r="E35" s="212"/>
      <c r="F35" s="251">
        <f>'数据-取费表'!B33</f>
        <v>0.05</v>
      </c>
      <c r="G35" s="211" t="s">
        <v>1526</v>
      </c>
    </row>
    <row r="36" spans="1:7" ht="24">
      <c r="A36" s="732"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2" t="s">
        <v>353</v>
      </c>
      <c r="B37" s="207" t="s">
        <v>1529</v>
      </c>
      <c r="C37" s="241">
        <f ca="1">ROUND(E37*D37,0)</f>
        <v>7356172</v>
      </c>
      <c r="D37" s="209">
        <f ca="1">D19</f>
        <v>36780.86</v>
      </c>
      <c r="E37" s="241">
        <f>'数据-取费表'!B35</f>
        <v>200</v>
      </c>
      <c r="F37" s="251"/>
      <c r="G37" s="253"/>
    </row>
    <row r="38" spans="1:7" ht="13.5" customHeight="1">
      <c r="A38" s="732" t="s">
        <v>354</v>
      </c>
      <c r="B38" s="207" t="s">
        <v>1531</v>
      </c>
      <c r="C38" s="212">
        <f ca="1">ROUND(C34*F38,0)</f>
        <v>6620555</v>
      </c>
      <c r="D38" s="212"/>
      <c r="E38" s="212"/>
      <c r="F38" s="251">
        <f>'数据-取费表'!B36</f>
        <v>0.03</v>
      </c>
      <c r="G38" s="211" t="s">
        <v>1526</v>
      </c>
    </row>
    <row r="39" spans="1:7" s="206" customFormat="1" ht="13.5" customHeight="1">
      <c r="A39" s="247" t="s">
        <v>1532</v>
      </c>
      <c r="B39" s="202" t="s">
        <v>1533</v>
      </c>
      <c r="C39" s="224">
        <f ca="1">ROUND(C33*F20,0)</f>
        <v>4913923</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7768912</v>
      </c>
      <c r="D41" s="227">
        <f ca="1">C44</f>
        <v>5.9999999999999995E-4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ROUND(IF('数据-取费表'!B22&lt;=1,C33*F22*'数据-取费表'!B20/2,C33*(POWER((1+F22),'数据-取费表'!B20/2)-1)),0)</f>
        <v>7616580</v>
      </c>
      <c r="D42" s="230"/>
      <c r="E42" s="230"/>
      <c r="F42" s="231"/>
      <c r="G42" s="3357" t="s">
        <v>1589</v>
      </c>
    </row>
    <row r="43" spans="1:7" ht="13.5" customHeight="1">
      <c r="A43" s="732" t="s">
        <v>347</v>
      </c>
      <c r="B43" s="207" t="s">
        <v>1543</v>
      </c>
      <c r="C43" s="230">
        <f ca="1">ROUND(IF('数据-取费表'!B22&lt;=1,C39*F22*'数据-取费表'!B20/2,C39*(POWER((1+F22),'数据-取费表'!B20/2)-1)),0)</f>
        <v>152332</v>
      </c>
      <c r="D43" s="230"/>
      <c r="E43" s="230"/>
      <c r="F43" s="231"/>
      <c r="G43" s="3358"/>
    </row>
    <row r="44" spans="1:7" ht="13.5" customHeight="1">
      <c r="A44" s="732" t="s">
        <v>348</v>
      </c>
      <c r="B44" s="207" t="s">
        <v>1544</v>
      </c>
      <c r="C44" s="230">
        <f ca="1">ROUND(IF('数据-取费表'!B22&lt;=1,C40*F22*'数据-取费表'!B20/2,C40*(POWER((1+F22),'数据-取费表'!B20/2)-1)),4)</f>
        <v>5.9999999999999995E-4</v>
      </c>
      <c r="D44" s="230"/>
      <c r="E44" s="230"/>
      <c r="F44" s="231"/>
      <c r="G44" s="3359"/>
    </row>
    <row r="45" spans="1:7" s="206" customFormat="1" ht="13.5" customHeight="1">
      <c r="A45" s="247" t="s">
        <v>1545</v>
      </c>
      <c r="B45" s="236" t="s">
        <v>1511</v>
      </c>
      <c r="C45" s="237">
        <f ca="1">C46</f>
        <v>27567107</v>
      </c>
      <c r="D45" s="227">
        <f ca="1">C47</f>
        <v>2.2000000000000001E-3</v>
      </c>
      <c r="E45" s="228" t="s">
        <v>1537</v>
      </c>
      <c r="F45" s="238">
        <f ca="1">F27</f>
        <v>0.11</v>
      </c>
      <c r="G45" s="239" t="s">
        <v>1546</v>
      </c>
    </row>
    <row r="46" spans="1:7" s="206" customFormat="1" ht="13.5" customHeight="1">
      <c r="A46" s="732" t="s">
        <v>346</v>
      </c>
      <c r="B46" s="240" t="s">
        <v>1547</v>
      </c>
      <c r="C46" s="241">
        <f ca="1">ROUND((C33+C39)*F27,0)</f>
        <v>27567107</v>
      </c>
      <c r="D46" s="255"/>
      <c r="E46" s="228"/>
      <c r="F46" s="238"/>
      <c r="G46" s="239"/>
    </row>
    <row r="47" spans="1:7" s="206" customFormat="1" ht="13.5" customHeight="1">
      <c r="A47" s="732" t="s">
        <v>347</v>
      </c>
      <c r="B47" s="240" t="s">
        <v>1548</v>
      </c>
      <c r="C47" s="230">
        <f ca="1">ROUND(C40*F27,4)</f>
        <v>2.2000000000000001E-3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309197758</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262818094</v>
      </c>
      <c r="D51" s="224"/>
      <c r="E51" s="224"/>
      <c r="F51" s="256"/>
      <c r="G51" s="226" t="s">
        <v>1558</v>
      </c>
    </row>
    <row r="52" spans="1:7" s="200" customFormat="1" ht="16.8" thickBot="1">
      <c r="A52" s="257" t="s">
        <v>1559</v>
      </c>
      <c r="B52" s="258"/>
      <c r="C52" s="259">
        <f ca="1">C31+C51</f>
        <v>281841388</v>
      </c>
      <c r="D52" s="258"/>
      <c r="E52" s="258"/>
      <c r="F52" s="258"/>
      <c r="G52" s="260"/>
    </row>
    <row r="55" spans="1:7" ht="15">
      <c r="B55" s="262" t="s">
        <v>1560</v>
      </c>
      <c r="C55" s="263"/>
    </row>
    <row r="56" spans="1:7">
      <c r="B56" s="265" t="s">
        <v>800</v>
      </c>
      <c r="C56" s="267">
        <f ca="1">1-C57</f>
        <v>6.6999999999999948E-2</v>
      </c>
    </row>
    <row r="57" spans="1:7">
      <c r="B57" s="265" t="s">
        <v>801</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5" t="str">
        <f>项目基本情况!B1</f>
        <v>北京市房地产抵押价值预评估</v>
      </c>
      <c r="C37" s="3175"/>
      <c r="D37" s="3175"/>
      <c r="E37" s="3175"/>
      <c r="F37" s="3175"/>
      <c r="G37" s="3175"/>
      <c r="H37" s="3175"/>
      <c r="I37" s="3175"/>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1592</v>
      </c>
      <c r="B1" s="121"/>
      <c r="C1" s="1108"/>
      <c r="D1" s="1107"/>
      <c r="E1" s="2565"/>
      <c r="F1" s="2565"/>
      <c r="G1" s="2447"/>
      <c r="H1" s="2565"/>
      <c r="I1" s="2565"/>
      <c r="J1" s="2565"/>
      <c r="K1" s="2566">
        <f>MATCH(C1,'数据-取费表'!A6:A16,0)+5</f>
        <v>8</v>
      </c>
    </row>
    <row r="2" spans="1:33" ht="18" customHeight="1">
      <c r="A2" s="193" t="s">
        <v>1460</v>
      </c>
      <c r="B2" s="196">
        <f ca="1">C32</f>
        <v>0</v>
      </c>
      <c r="C2" s="268" t="s">
        <v>1593</v>
      </c>
      <c r="D2" s="268"/>
      <c r="E2" s="2565"/>
      <c r="F2" s="2565"/>
      <c r="G2" s="2565"/>
      <c r="H2" s="2565"/>
      <c r="I2" s="2565"/>
      <c r="J2" s="2565"/>
      <c r="K2" s="2565"/>
    </row>
    <row r="3" spans="1:33" ht="18" customHeight="1" thickBot="1">
      <c r="A3" s="195" t="s">
        <v>1462</v>
      </c>
      <c r="B3" s="196">
        <f ca="1">ROUND(B2*10000/IF(C1="",'数据-汇总表'!E3,INDIRECT("'数据-取费表'!K"&amp;$K$1)),0)</f>
        <v>0</v>
      </c>
      <c r="C3" s="268" t="s">
        <v>1594</v>
      </c>
      <c r="D3" s="268"/>
      <c r="E3" s="2565"/>
      <c r="F3" s="2565"/>
      <c r="G3" s="2565"/>
      <c r="H3" s="2565"/>
      <c r="I3" s="2565"/>
      <c r="J3" s="2565"/>
      <c r="K3" s="2565"/>
    </row>
    <row r="4" spans="1:33" s="737" customFormat="1" ht="16.5" customHeight="1">
      <c r="A4" s="734" t="s">
        <v>1595</v>
      </c>
      <c r="B4" s="735"/>
      <c r="C4" s="773">
        <f>SUM(C8:K8)</f>
        <v>0</v>
      </c>
      <c r="D4" s="735"/>
      <c r="E4" s="735"/>
      <c r="F4" s="735"/>
      <c r="G4" s="735"/>
      <c r="H4" s="735"/>
      <c r="I4" s="735"/>
      <c r="J4" s="735"/>
      <c r="K4" s="736"/>
    </row>
    <row r="5" spans="1:33" s="741" customFormat="1" ht="14.4">
      <c r="A5" s="738" t="s">
        <v>1596</v>
      </c>
      <c r="B5" s="739" t="s">
        <v>1597</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1598</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1601</v>
      </c>
      <c r="B8" s="156" t="s">
        <v>1602</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1603</v>
      </c>
      <c r="B9" s="735"/>
      <c r="C9" s="735"/>
      <c r="D9" s="735"/>
      <c r="E9" s="735"/>
      <c r="F9" s="735"/>
      <c r="G9" s="735"/>
      <c r="H9" s="735"/>
      <c r="I9" s="735"/>
      <c r="J9" s="735"/>
      <c r="K9" s="736"/>
    </row>
    <row r="10" spans="1:33" s="749" customFormat="1" ht="13.5" customHeight="1">
      <c r="A10" s="738" t="s">
        <v>1604</v>
      </c>
      <c r="B10" s="5" t="s">
        <v>1605</v>
      </c>
      <c r="C10" s="745" t="s">
        <v>1606</v>
      </c>
      <c r="D10" s="746" t="s">
        <v>1607</v>
      </c>
      <c r="E10" s="746" t="s">
        <v>1608</v>
      </c>
      <c r="F10" s="746" t="s">
        <v>1609</v>
      </c>
      <c r="G10" s="5"/>
      <c r="H10" s="747"/>
      <c r="I10" s="747"/>
      <c r="J10" s="747"/>
      <c r="K10" s="748"/>
    </row>
    <row r="11" spans="1:33" s="753" customFormat="1" ht="13.5" customHeight="1">
      <c r="A11" s="750" t="s">
        <v>635</v>
      </c>
      <c r="B11" s="751" t="s">
        <v>1610</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1611</v>
      </c>
      <c r="C12" s="21">
        <f ca="1">ROUND(C11*F12,0)</f>
        <v>0</v>
      </c>
      <c r="D12" s="752"/>
      <c r="E12" s="138"/>
      <c r="F12" s="762">
        <f>'数据-取费表'!B33</f>
        <v>0.05</v>
      </c>
      <c r="G12" s="5" t="s">
        <v>1612</v>
      </c>
      <c r="H12" s="747"/>
      <c r="I12" s="747"/>
      <c r="J12" s="747"/>
      <c r="K12" s="748"/>
    </row>
    <row r="13" spans="1:33" s="753" customFormat="1" ht="13.5" customHeight="1">
      <c r="A13" s="750" t="s">
        <v>637</v>
      </c>
      <c r="B13" s="751" t="s">
        <v>1613</v>
      </c>
      <c r="C13" s="21">
        <f ca="1">ROUND(IF(C1="",SUMIF('数据-取费表'!C:C,"住宅",'数据-取费表'!P:P)*F13,IF(INDIRECT("'数据-取费表'!c"&amp;$K$1)="住宅",INDIRECT("'数据-取费表'!P"&amp;$K$1)*F13,0)),0)</f>
        <v>0</v>
      </c>
      <c r="D13" s="794"/>
      <c r="E13" s="138"/>
      <c r="F13" s="762">
        <f>'数据-取费表'!B34</f>
        <v>0</v>
      </c>
      <c r="G13" s="5" t="s">
        <v>1614</v>
      </c>
      <c r="H13" s="747"/>
      <c r="I13" s="747"/>
      <c r="J13" s="747"/>
      <c r="K13" s="748"/>
    </row>
    <row r="14" spans="1:33" s="755" customFormat="1" ht="13.5" customHeight="1">
      <c r="A14" s="750" t="s">
        <v>638</v>
      </c>
      <c r="B14" s="751" t="s">
        <v>1615</v>
      </c>
      <c r="C14" s="21">
        <f ca="1">ROUND(D14*E14*F11/10000,0)</f>
        <v>0</v>
      </c>
      <c r="D14" s="794">
        <f ca="1">IF(C1="",'数据-汇总表'!E3,INDIRECT("'数据-取费表'!K"&amp;$K$1)+INDIRECT("'数据-取费表'!S"&amp;$K$1))</f>
        <v>36780.86</v>
      </c>
      <c r="E14" s="21">
        <f>'数据-取费表'!B35</f>
        <v>200</v>
      </c>
      <c r="F14" s="754"/>
      <c r="G14" s="5" t="s">
        <v>1616</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1617</v>
      </c>
      <c r="C15" s="761">
        <f ca="1">ROUND(C11*F15,0)</f>
        <v>0</v>
      </c>
      <c r="D15" s="756"/>
      <c r="E15" s="761"/>
      <c r="F15" s="762">
        <f>'数据-取费表'!B36</f>
        <v>0.03</v>
      </c>
      <c r="G15" s="123" t="s">
        <v>1618</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1619</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1620</v>
      </c>
      <c r="C17" s="21">
        <f ca="1">ROUND(D17*E17/10000,0)</f>
        <v>0</v>
      </c>
      <c r="D17" s="794">
        <f ca="1">D14</f>
        <v>36780.86</v>
      </c>
      <c r="E17" s="21">
        <f>'数据-取费表'!B32</f>
        <v>0</v>
      </c>
      <c r="F17" s="756"/>
      <c r="G17" s="123" t="s">
        <v>1621</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1622</v>
      </c>
      <c r="C18" s="21">
        <f ca="1">C19+C20-IF(C1="",'数据-取费表'!B29,IF(G18="已全部缴纳",C19+C20,H18))</f>
        <v>0</v>
      </c>
      <c r="D18" s="794"/>
      <c r="E18" s="21"/>
      <c r="F18" s="754"/>
      <c r="G18" s="1718"/>
      <c r="H18" s="1104"/>
      <c r="I18" s="1719" t="s">
        <v>1623</v>
      </c>
      <c r="J18" s="757"/>
      <c r="K18" s="758"/>
    </row>
    <row r="19" spans="1:33" s="753" customFormat="1" ht="13.5" customHeight="1">
      <c r="A19" s="750" t="s">
        <v>360</v>
      </c>
      <c r="B19" s="751" t="s">
        <v>1624</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1625</v>
      </c>
      <c r="C20" s="21">
        <f ca="1">ROUND(D20*E20/10000,0)</f>
        <v>736</v>
      </c>
      <c r="D20" s="794">
        <f ca="1">IF(C1="",'数据-汇总表'!E6,IF(INDIRECT("'数据-取费表'!c"&amp;$K$1)="住宅",INDIRECT("'数据-取费表'!s"&amp;$K$1),INDIRECT("'数据-取费表'!k"&amp;$K$1)+INDIRECT("'数据-取费表'!s"&amp;$K$1)))</f>
        <v>36780.86</v>
      </c>
      <c r="E20" s="21">
        <f>'数据-取费表'!B28</f>
        <v>200</v>
      </c>
      <c r="F20" s="754"/>
      <c r="G20" s="12"/>
      <c r="H20" s="759"/>
      <c r="I20" s="759"/>
      <c r="J20" s="759"/>
      <c r="K20" s="760"/>
    </row>
    <row r="21" spans="1:33" s="753" customFormat="1" ht="13.5" customHeight="1">
      <c r="A21" s="742" t="s">
        <v>357</v>
      </c>
      <c r="B21" s="763" t="s">
        <v>1626</v>
      </c>
      <c r="C21" s="764">
        <f ca="1">C16+C17+C18</f>
        <v>0</v>
      </c>
      <c r="D21" s="765"/>
      <c r="E21" s="273"/>
      <c r="F21" s="273"/>
      <c r="G21" s="123" t="s">
        <v>1627</v>
      </c>
      <c r="H21" s="757"/>
      <c r="I21" s="757"/>
      <c r="J21" s="757"/>
      <c r="K21" s="758"/>
    </row>
    <row r="22" spans="1:33" s="753" customFormat="1" ht="13.5" customHeight="1">
      <c r="A22" s="742" t="s">
        <v>1599</v>
      </c>
      <c r="B22" s="763" t="s">
        <v>1628</v>
      </c>
      <c r="C22" s="764">
        <f ca="1">ROUND(C21*F22,0)</f>
        <v>0</v>
      </c>
      <c r="D22" s="273"/>
      <c r="E22" s="273"/>
      <c r="F22" s="766">
        <f>'数据-取费表'!B37</f>
        <v>0.02</v>
      </c>
      <c r="G22" s="5" t="s">
        <v>1629</v>
      </c>
      <c r="H22" s="747"/>
      <c r="I22" s="747"/>
      <c r="J22" s="747"/>
      <c r="K22" s="748"/>
    </row>
    <row r="23" spans="1:33" s="753" customFormat="1" ht="13.5" customHeight="1">
      <c r="A23" s="742" t="s">
        <v>1601</v>
      </c>
      <c r="B23" s="763" t="s">
        <v>1630</v>
      </c>
      <c r="C23" s="764">
        <f ca="1">ROUND(C4*F23*F11,0)</f>
        <v>0</v>
      </c>
      <c r="D23" s="273"/>
      <c r="E23" s="273"/>
      <c r="F23" s="766">
        <f>'数据-取费表'!B38</f>
        <v>0.02</v>
      </c>
      <c r="G23" s="5" t="s">
        <v>1631</v>
      </c>
      <c r="H23" s="747"/>
      <c r="I23" s="747"/>
      <c r="J23" s="747"/>
      <c r="K23" s="748"/>
    </row>
    <row r="24" spans="1:33" s="753" customFormat="1" ht="13.5" customHeight="1">
      <c r="A24" s="742" t="s">
        <v>1632</v>
      </c>
      <c r="B24" s="763" t="s">
        <v>1633</v>
      </c>
      <c r="C24" s="272">
        <f>ROUND(F24/(1+'数据-取费表'!C42),4)</f>
        <v>2.9000000000000001E-2</v>
      </c>
      <c r="D24" s="273" t="s">
        <v>12</v>
      </c>
      <c r="E24" s="273"/>
      <c r="F24" s="766">
        <f>IF(项目基本情况!B8="出让",0,'数据-取费表'!B48+'数据-取费表'!B49)</f>
        <v>3.0499999999999999E-2</v>
      </c>
      <c r="G24" s="5" t="s">
        <v>1634</v>
      </c>
      <c r="H24" s="768"/>
      <c r="I24" s="768"/>
      <c r="J24" s="768"/>
      <c r="K24" s="55"/>
    </row>
    <row r="25" spans="1:33" s="753" customFormat="1" ht="13.5" customHeight="1">
      <c r="A25" s="742" t="s">
        <v>1635</v>
      </c>
      <c r="B25" s="765" t="s">
        <v>1636</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1637</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1638</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1639</v>
      </c>
      <c r="B28" s="1721" t="s">
        <v>1640</v>
      </c>
      <c r="C28" s="279">
        <f ca="1">C30</f>
        <v>0</v>
      </c>
      <c r="D28" s="272">
        <f ca="1">C29</f>
        <v>0</v>
      </c>
      <c r="E28" s="274" t="s">
        <v>12</v>
      </c>
      <c r="F28" s="280">
        <f ca="1">IF(C1="",'数据-取费表'!Q16,INDIRECT("'数据-取费表'!q"&amp;$K$1))</f>
        <v>0.11</v>
      </c>
      <c r="G28" s="767"/>
      <c r="H28" s="768"/>
      <c r="I28" s="768"/>
      <c r="J28" s="768"/>
      <c r="K28" s="55"/>
    </row>
    <row r="29" spans="1:33" s="283" customFormat="1" ht="13.5" customHeight="1">
      <c r="A29" s="750" t="s">
        <v>358</v>
      </c>
      <c r="B29" s="771" t="s">
        <v>1641</v>
      </c>
      <c r="C29" s="276">
        <f ca="1">ROUND((1+C24)*F28*'数据-取费表'!B24/'数据-取费表'!B20,4)</f>
        <v>0</v>
      </c>
      <c r="D29" s="276"/>
      <c r="E29" s="277"/>
      <c r="F29" s="282"/>
      <c r="G29" s="123" t="s">
        <v>1642</v>
      </c>
      <c r="H29" s="757"/>
      <c r="I29" s="757"/>
      <c r="J29" s="757"/>
      <c r="K29" s="758"/>
    </row>
    <row r="30" spans="1:33" s="283" customFormat="1" ht="13.5" customHeight="1">
      <c r="A30" s="750" t="s">
        <v>359</v>
      </c>
      <c r="B30" s="771" t="s">
        <v>1643</v>
      </c>
      <c r="C30" s="284">
        <f ca="1">ROUND((C21+C22+C23)*F28,0)</f>
        <v>0</v>
      </c>
      <c r="D30" s="276"/>
      <c r="E30" s="277"/>
      <c r="F30" s="282"/>
      <c r="G30" s="123"/>
      <c r="H30" s="757"/>
      <c r="I30" s="757"/>
      <c r="J30" s="757"/>
      <c r="K30" s="758"/>
    </row>
    <row r="31" spans="1:33" s="753" customFormat="1" ht="13.5" customHeight="1" thickBot="1">
      <c r="A31" s="1722" t="s">
        <v>1644</v>
      </c>
      <c r="B31" s="781" t="s">
        <v>1645</v>
      </c>
      <c r="C31" s="782">
        <f>ROUND(C4*F31/(1+'数据-取费表'!C42),0)</f>
        <v>0</v>
      </c>
      <c r="D31" s="783"/>
      <c r="E31" s="784"/>
      <c r="F31" s="785">
        <f>'数据-取费表'!B41</f>
        <v>5.5000000000000007E-2</v>
      </c>
      <c r="G31" s="786" t="s">
        <v>1646</v>
      </c>
      <c r="H31" s="787"/>
      <c r="I31" s="787"/>
      <c r="J31" s="787"/>
      <c r="K31" s="788"/>
    </row>
    <row r="32" spans="1:33" s="749" customFormat="1" ht="13.5" customHeight="1" thickBot="1">
      <c r="A32" s="449" t="s">
        <v>1647</v>
      </c>
      <c r="B32" s="777"/>
      <c r="C32" s="778">
        <f ca="1">ROUND((C4-C21-C22-C23-C25-C28-C31)/(1+C24+D25+D28),0)</f>
        <v>0</v>
      </c>
      <c r="D32" s="777"/>
      <c r="E32" s="777"/>
      <c r="F32" s="777"/>
      <c r="G32" s="779" t="s">
        <v>1648</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10" zoomScaleNormal="70" zoomScaleSheetLayoutView="100" workbookViewId="0">
      <selection activeCell="M19" sqref="M1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6" t="s">
        <v>1808</v>
      </c>
      <c r="C1" s="1139" t="s">
        <v>1660</v>
      </c>
      <c r="D1" s="1140" t="s">
        <v>3418</v>
      </c>
      <c r="E1" s="3129" t="s">
        <v>3437</v>
      </c>
      <c r="F1" s="1733" t="s">
        <v>3438</v>
      </c>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f>IF(E1="项目模式",IF(C2="——",ROUND(C50*D3/10000,0),ROUND(C50*D3/10000,0)-D2),IF(E1="单套模式",IF(C2="——",ROUND(C50*D3/10000,4),ROUND(C50*D3/10000,4)-D2)))</f>
        <v>30059</v>
      </c>
      <c r="C2" s="1735" t="s">
        <v>43</v>
      </c>
      <c r="D2" s="1050" t="e">
        <f ca="1">IF(E1="项目模式",SUMIF(INDIRECT("'"&amp;F2&amp;"'"&amp;"!A:A"),"承租人权益价值",INDIRECT("'"&amp;F2&amp;"'"&amp;"!c:c")),SUMIF(INDIRECT("'"&amp;F2&amp;"'"&amp;"!A:A"),"承租人权益价值（单套）",INDIRECT("'"&amp;F2&amp;"'"&amp;"!c:c")))</f>
        <v>#REF!</v>
      </c>
      <c r="E2" s="1736" t="s">
        <v>1461</v>
      </c>
      <c r="F2" s="1737"/>
      <c r="G2" s="853"/>
      <c r="H2" s="853"/>
      <c r="I2" s="853"/>
      <c r="J2" s="853"/>
      <c r="K2" s="853"/>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f>IF(C2="——",C50,ROUND(B2*10000/D3,0))</f>
        <v>26166</v>
      </c>
      <c r="C3" s="344" t="s">
        <v>1766</v>
      </c>
      <c r="D3" s="343">
        <f>IF(D1="",'数据-汇总表'!E3,SUMIF('数据-汇总表'!$C19:$C33,D1,'数据-汇总表'!$E19:$E33))</f>
        <v>11487.92</v>
      </c>
      <c r="E3" s="1803"/>
      <c r="F3" s="854"/>
      <c r="G3" s="853"/>
      <c r="H3" s="853"/>
      <c r="I3" s="853"/>
      <c r="J3" s="853"/>
      <c r="K3" s="855"/>
      <c r="L3" s="2501"/>
      <c r="M3" s="2502"/>
      <c r="N3" s="2502"/>
      <c r="O3" s="2502"/>
      <c r="P3" s="341"/>
      <c r="Q3" s="341"/>
      <c r="R3" s="341"/>
      <c r="S3" s="341"/>
      <c r="T3" s="341"/>
      <c r="U3" s="341"/>
      <c r="V3" s="341"/>
      <c r="W3" s="341"/>
      <c r="X3" s="341"/>
      <c r="Y3" s="341"/>
      <c r="Z3" s="341"/>
      <c r="AA3" s="341"/>
      <c r="AB3" s="341"/>
      <c r="AC3" s="661"/>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382" t="s">
        <v>1773</v>
      </c>
      <c r="Q4" s="3383"/>
      <c r="R4" s="3388" t="s">
        <v>1769</v>
      </c>
      <c r="S4" s="3389"/>
      <c r="T4" s="3388" t="s">
        <v>1770</v>
      </c>
      <c r="U4" s="3389"/>
      <c r="V4" s="3394" t="s">
        <v>1771</v>
      </c>
      <c r="W4" s="3394"/>
      <c r="X4" s="1807"/>
      <c r="Y4" s="3388" t="s">
        <v>1773</v>
      </c>
      <c r="Z4" s="3389"/>
      <c r="AA4" s="3406" t="s">
        <v>1769</v>
      </c>
      <c r="AB4" s="3406" t="s">
        <v>1770</v>
      </c>
      <c r="AC4" s="3375" t="s">
        <v>1771</v>
      </c>
    </row>
    <row r="5" spans="1:29">
      <c r="A5" s="348"/>
      <c r="B5" s="349"/>
      <c r="C5" s="3403" t="s">
        <v>1671</v>
      </c>
      <c r="D5" s="3398"/>
      <c r="E5" s="3409" t="s">
        <v>3497</v>
      </c>
      <c r="F5" s="3410"/>
      <c r="G5" s="3397" t="s">
        <v>3498</v>
      </c>
      <c r="H5" s="3398"/>
      <c r="I5" s="3397" t="s">
        <v>3487</v>
      </c>
      <c r="J5" s="3398"/>
      <c r="K5" s="537"/>
      <c r="L5" s="2484"/>
      <c r="M5" s="2485"/>
      <c r="N5" s="2485"/>
      <c r="O5" s="2485"/>
      <c r="P5" s="3384"/>
      <c r="Q5" s="3385"/>
      <c r="R5" s="3390"/>
      <c r="S5" s="3391"/>
      <c r="T5" s="3390"/>
      <c r="U5" s="3391"/>
      <c r="V5" s="3362"/>
      <c r="W5" s="3362"/>
      <c r="X5" s="1263"/>
      <c r="Y5" s="3390"/>
      <c r="Z5" s="3391"/>
      <c r="AA5" s="3407"/>
      <c r="AB5" s="3407"/>
      <c r="AC5" s="3376"/>
    </row>
    <row r="6" spans="1:29" ht="15" thickBot="1">
      <c r="A6" s="350"/>
      <c r="B6" s="351"/>
      <c r="C6" s="3395" t="s">
        <v>1675</v>
      </c>
      <c r="D6" s="3396"/>
      <c r="E6" s="3404" t="s">
        <v>1675</v>
      </c>
      <c r="F6" s="3405"/>
      <c r="G6" s="3395" t="s">
        <v>1675</v>
      </c>
      <c r="H6" s="3396"/>
      <c r="I6" s="3395" t="s">
        <v>1675</v>
      </c>
      <c r="J6" s="3396"/>
      <c r="K6" s="537" t="s">
        <v>1676</v>
      </c>
      <c r="L6" s="2484"/>
      <c r="M6" s="2485"/>
      <c r="N6" s="2485"/>
      <c r="O6" s="2485"/>
      <c r="P6" s="3386"/>
      <c r="Q6" s="3387"/>
      <c r="R6" s="3390"/>
      <c r="S6" s="3391"/>
      <c r="T6" s="3392"/>
      <c r="U6" s="3393"/>
      <c r="V6" s="3362"/>
      <c r="W6" s="3362"/>
      <c r="X6" s="1263"/>
      <c r="Y6" s="3392"/>
      <c r="Z6" s="3393"/>
      <c r="AA6" s="3408"/>
      <c r="AB6" s="3408"/>
      <c r="AC6" s="3377"/>
    </row>
    <row r="7" spans="1:29" s="102" customFormat="1" ht="15" thickBot="1">
      <c r="A7" s="352" t="s">
        <v>1677</v>
      </c>
      <c r="B7" s="353"/>
      <c r="C7" s="354">
        <f>'数据-取费表'!B2</f>
        <v>45775</v>
      </c>
      <c r="D7" s="355">
        <v>100</v>
      </c>
      <c r="E7" s="356">
        <v>44986</v>
      </c>
      <c r="F7" s="357">
        <f>SUMIF(59:59,YEAR(E7)&amp;"-"&amp;MONTH(E7),60:60)</f>
        <v>102</v>
      </c>
      <c r="G7" s="356">
        <v>45047</v>
      </c>
      <c r="H7" s="355">
        <f>SUMIF(59:59,YEAR(G7)&amp;"-"&amp;MONTH(G7),60:60)</f>
        <v>102</v>
      </c>
      <c r="I7" s="356">
        <f>C7</f>
        <v>45775</v>
      </c>
      <c r="J7" s="355">
        <f>SUMIF(59:59,YEAR(I7)&amp;"-"&amp;MONTH(I7),60:60)</f>
        <v>100</v>
      </c>
      <c r="K7" s="38"/>
      <c r="L7" s="2486"/>
      <c r="M7" s="2438"/>
      <c r="N7" s="2438"/>
      <c r="O7" s="2438"/>
      <c r="P7" s="3399" t="s">
        <v>1678</v>
      </c>
      <c r="Q7" s="3402"/>
      <c r="R7" s="662" t="s">
        <v>14</v>
      </c>
      <c r="S7" s="663">
        <f t="shared" ref="S7:S15" si="0">F7</f>
        <v>102</v>
      </c>
      <c r="T7" s="662" t="s">
        <v>14</v>
      </c>
      <c r="U7" s="663">
        <f t="shared" ref="U7:U15" si="1">H7</f>
        <v>102</v>
      </c>
      <c r="V7" s="662" t="s">
        <v>14</v>
      </c>
      <c r="W7" s="663">
        <f t="shared" ref="W7:W15" si="2">J7</f>
        <v>100</v>
      </c>
      <c r="X7" s="664"/>
      <c r="Y7" s="3401" t="s">
        <v>1678</v>
      </c>
      <c r="Z7" s="3400"/>
      <c r="AA7" s="50">
        <f>D7/F7</f>
        <v>0.98039215686274506</v>
      </c>
      <c r="AB7" s="50">
        <f>D7/H7</f>
        <v>0.98039215686274506</v>
      </c>
      <c r="AC7" s="800">
        <f>D7/J7</f>
        <v>1</v>
      </c>
    </row>
    <row r="8" spans="1:29" s="102" customFormat="1" ht="15" thickBot="1">
      <c r="A8" s="352" t="s">
        <v>1679</v>
      </c>
      <c r="B8" s="353"/>
      <c r="C8" s="358" t="s">
        <v>3486</v>
      </c>
      <c r="D8" s="355">
        <v>100</v>
      </c>
      <c r="E8" s="358" t="s">
        <v>3486</v>
      </c>
      <c r="F8" s="357">
        <f>SUMIF(62:62,E8,63:63)-SUMIF(62:62,C8,63:63)+100</f>
        <v>100</v>
      </c>
      <c r="G8" s="358" t="s">
        <v>3486</v>
      </c>
      <c r="H8" s="355">
        <f>SUMIF(62:62,G8,63:63)-SUMIF(62:62,C8,63:63)+100</f>
        <v>100</v>
      </c>
      <c r="I8" s="358" t="s">
        <v>3490</v>
      </c>
      <c r="J8" s="355">
        <f>SUMIF(62:62,I8,63:63)-SUMIF(62:62,C8,63:63)+100</f>
        <v>102</v>
      </c>
      <c r="K8" s="38"/>
      <c r="L8" s="2486"/>
      <c r="M8" s="2438"/>
      <c r="N8" s="2438"/>
      <c r="O8" s="2438"/>
      <c r="P8" s="3399" t="s">
        <v>1681</v>
      </c>
      <c r="Q8" s="3400"/>
      <c r="R8" s="662" t="s">
        <v>14</v>
      </c>
      <c r="S8" s="663">
        <f t="shared" si="0"/>
        <v>100</v>
      </c>
      <c r="T8" s="662" t="s">
        <v>14</v>
      </c>
      <c r="U8" s="663">
        <f t="shared" si="1"/>
        <v>100</v>
      </c>
      <c r="V8" s="662" t="s">
        <v>14</v>
      </c>
      <c r="W8" s="663">
        <f t="shared" si="2"/>
        <v>102</v>
      </c>
      <c r="X8" s="664"/>
      <c r="Y8" s="3401" t="s">
        <v>1681</v>
      </c>
      <c r="Z8" s="3400"/>
      <c r="AA8" s="50">
        <f t="shared" ref="AA8:AA47" si="3">D8/F8</f>
        <v>1</v>
      </c>
      <c r="AB8" s="50">
        <f t="shared" ref="AB8:AB47" si="4">D8/H8</f>
        <v>1</v>
      </c>
      <c r="AC8" s="800">
        <f t="shared" ref="AC8:AC47" si="5">D8/J8</f>
        <v>0.98039215686274506</v>
      </c>
    </row>
    <row r="9" spans="1:29" s="102" customFormat="1" ht="14.4">
      <c r="A9" s="359" t="s">
        <v>1682</v>
      </c>
      <c r="B9" s="60" t="s">
        <v>1683</v>
      </c>
      <c r="C9" s="3167" t="s">
        <v>3488</v>
      </c>
      <c r="D9" s="59">
        <v>100</v>
      </c>
      <c r="E9" s="362" t="s">
        <v>21</v>
      </c>
      <c r="F9" s="59">
        <f>SUMIF(64:64,E9,65:65)-SUMIF(64:64,C9,65:65)+100</f>
        <v>105</v>
      </c>
      <c r="G9" s="362" t="s">
        <v>21</v>
      </c>
      <c r="H9" s="59">
        <f>SUMIF(64:64,G9,65:65)-SUMIF(64:64,C9,65:65)+100</f>
        <v>105</v>
      </c>
      <c r="I9" s="362" t="s">
        <v>21</v>
      </c>
      <c r="J9" s="59">
        <f>SUMIF(64:64,I9,65:65)-SUMIF(64:64,C9,65:65)+100</f>
        <v>105</v>
      </c>
      <c r="K9" s="38"/>
      <c r="L9" s="2486"/>
      <c r="M9" s="2438"/>
      <c r="N9" s="2438"/>
      <c r="O9" s="2438"/>
      <c r="P9" s="3360" t="s">
        <v>1684</v>
      </c>
      <c r="Q9" s="530" t="str">
        <f t="shared" ref="Q9:Q15" si="6">B9</f>
        <v>用途</v>
      </c>
      <c r="R9" s="662" t="s">
        <v>14</v>
      </c>
      <c r="S9" s="663">
        <f t="shared" si="0"/>
        <v>105</v>
      </c>
      <c r="T9" s="662" t="s">
        <v>14</v>
      </c>
      <c r="U9" s="663">
        <f t="shared" si="1"/>
        <v>105</v>
      </c>
      <c r="V9" s="662" t="s">
        <v>14</v>
      </c>
      <c r="W9" s="663">
        <f t="shared" si="2"/>
        <v>105</v>
      </c>
      <c r="X9" s="664"/>
      <c r="Y9" s="3264" t="s">
        <v>1685</v>
      </c>
      <c r="Z9" s="50" t="str">
        <f t="shared" ref="Z9:Z15" si="7">Q9</f>
        <v>用途</v>
      </c>
      <c r="AA9" s="50">
        <f t="shared" si="3"/>
        <v>0.95238095238095233</v>
      </c>
      <c r="AB9" s="50">
        <f t="shared" si="4"/>
        <v>0.95238095238095233</v>
      </c>
      <c r="AC9" s="800">
        <f t="shared" si="5"/>
        <v>0.95238095238095233</v>
      </c>
    </row>
    <row r="10" spans="1:29" s="366" customFormat="1" ht="29.4" thickBot="1">
      <c r="A10" s="363"/>
      <c r="B10" s="364" t="s">
        <v>1686</v>
      </c>
      <c r="C10" s="3130" t="s">
        <v>3492</v>
      </c>
      <c r="D10" s="119">
        <v>100</v>
      </c>
      <c r="E10" s="3130" t="s">
        <v>3493</v>
      </c>
      <c r="F10" s="119">
        <f>SUMIF(66:66,E10,67:67)-SUMIF(66:66,C10,67:67)+100</f>
        <v>102</v>
      </c>
      <c r="G10" s="3131" t="str">
        <f>E10</f>
        <v>40-50</v>
      </c>
      <c r="H10" s="119">
        <f>SUMIF(66:66,G10,67:67)-SUMIF(66:66,C10,67:67)+100</f>
        <v>102</v>
      </c>
      <c r="I10" s="3130" t="str">
        <f>E10</f>
        <v>40-50</v>
      </c>
      <c r="J10" s="119">
        <f>SUMIF(66:66,I10,67:67)-SUMIF(66:66,C10,67:67)+100</f>
        <v>102</v>
      </c>
      <c r="K10" s="38"/>
      <c r="L10" s="2487"/>
      <c r="M10" s="2488"/>
      <c r="N10" s="2488"/>
      <c r="O10" s="2488"/>
      <c r="P10" s="3360"/>
      <c r="Q10" s="530" t="str">
        <f t="shared" si="6"/>
        <v>土地使用年限（年）</v>
      </c>
      <c r="R10" s="662" t="s">
        <v>14</v>
      </c>
      <c r="S10" s="663">
        <f t="shared" si="0"/>
        <v>102</v>
      </c>
      <c r="T10" s="662" t="s">
        <v>14</v>
      </c>
      <c r="U10" s="663">
        <f t="shared" si="1"/>
        <v>102</v>
      </c>
      <c r="V10" s="662" t="s">
        <v>14</v>
      </c>
      <c r="W10" s="663">
        <f t="shared" si="2"/>
        <v>102</v>
      </c>
      <c r="X10" s="664"/>
      <c r="Y10" s="3264"/>
      <c r="Z10" s="50" t="str">
        <f t="shared" si="7"/>
        <v>土地使用年限（年）</v>
      </c>
      <c r="AA10" s="50">
        <f t="shared" si="3"/>
        <v>0.98039215686274506</v>
      </c>
      <c r="AB10" s="50">
        <f t="shared" si="4"/>
        <v>0.98039215686274506</v>
      </c>
      <c r="AC10" s="800">
        <f t="shared" si="5"/>
        <v>0.98039215686274506</v>
      </c>
    </row>
    <row r="11" spans="1:29" ht="15" hidden="1">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0"/>
      <c r="Q11" s="530" t="str">
        <f t="shared" si="6"/>
        <v>容积率</v>
      </c>
      <c r="R11" s="662" t="s">
        <v>14</v>
      </c>
      <c r="S11" s="663">
        <f t="shared" si="0"/>
        <v>100</v>
      </c>
      <c r="T11" s="662" t="s">
        <v>14</v>
      </c>
      <c r="U11" s="663">
        <f t="shared" si="1"/>
        <v>100</v>
      </c>
      <c r="V11" s="662" t="s">
        <v>14</v>
      </c>
      <c r="W11" s="663">
        <f t="shared" si="2"/>
        <v>100</v>
      </c>
      <c r="X11" s="664"/>
      <c r="Y11" s="3264"/>
      <c r="Z11" s="50" t="str">
        <f t="shared" si="7"/>
        <v>容积率</v>
      </c>
      <c r="AA11" s="50">
        <f t="shared" si="3"/>
        <v>1</v>
      </c>
      <c r="AB11" s="50">
        <f t="shared" si="4"/>
        <v>1</v>
      </c>
      <c r="AC11" s="800">
        <f t="shared" si="5"/>
        <v>1</v>
      </c>
    </row>
    <row r="12" spans="1:29" s="102" customFormat="1" ht="15" hidden="1">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8"/>
      <c r="N12" s="2438"/>
      <c r="O12" s="2438"/>
      <c r="P12" s="3360"/>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800">
        <f>D12/J12</f>
        <v>1</v>
      </c>
    </row>
    <row r="13" spans="1:29" ht="15" hidden="1">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60"/>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800">
        <f t="shared" si="5"/>
        <v>1</v>
      </c>
    </row>
    <row r="14" spans="1:29" ht="15.6" hidden="1"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60"/>
      <c r="Q14" s="530">
        <f t="shared" si="6"/>
        <v>111</v>
      </c>
      <c r="R14" s="662" t="s">
        <v>14</v>
      </c>
      <c r="S14" s="663">
        <f t="shared" si="0"/>
        <v>100</v>
      </c>
      <c r="T14" s="662" t="s">
        <v>14</v>
      </c>
      <c r="U14" s="663">
        <f t="shared" si="1"/>
        <v>100</v>
      </c>
      <c r="V14" s="662" t="s">
        <v>14</v>
      </c>
      <c r="W14" s="663">
        <f t="shared" si="2"/>
        <v>100</v>
      </c>
      <c r="X14" s="664"/>
      <c r="Y14" s="3264"/>
      <c r="Z14" s="50">
        <f t="shared" si="7"/>
        <v>111</v>
      </c>
      <c r="AA14" s="50">
        <f t="shared" si="3"/>
        <v>1</v>
      </c>
      <c r="AB14" s="50">
        <f t="shared" si="4"/>
        <v>1</v>
      </c>
      <c r="AC14" s="800">
        <f t="shared" si="5"/>
        <v>1</v>
      </c>
    </row>
    <row r="15" spans="1:29" ht="69">
      <c r="A15" s="379" t="s">
        <v>1688</v>
      </c>
      <c r="B15" s="554" t="s">
        <v>1809</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0"/>
      <c r="M15" s="2485"/>
      <c r="N15" s="2485"/>
      <c r="O15" s="2485"/>
      <c r="P15" s="3366" t="s">
        <v>1689</v>
      </c>
      <c r="Q15" s="1261" t="str">
        <f t="shared" si="6"/>
        <v>办公集聚程度</v>
      </c>
      <c r="R15" s="665" t="s">
        <v>14</v>
      </c>
      <c r="S15" s="666">
        <f t="shared" si="0"/>
        <v>100</v>
      </c>
      <c r="T15" s="665" t="s">
        <v>14</v>
      </c>
      <c r="U15" s="666">
        <f t="shared" si="1"/>
        <v>100</v>
      </c>
      <c r="V15" s="665" t="s">
        <v>14</v>
      </c>
      <c r="W15" s="666">
        <f t="shared" si="2"/>
        <v>100</v>
      </c>
      <c r="X15" s="1263"/>
      <c r="Y15" s="3368" t="s">
        <v>1689</v>
      </c>
      <c r="Z15" s="1262" t="str">
        <f t="shared" si="7"/>
        <v>办公集聚程度</v>
      </c>
      <c r="AA15" s="1262">
        <f t="shared" si="3"/>
        <v>1</v>
      </c>
      <c r="AB15" s="1262">
        <f t="shared" si="4"/>
        <v>1</v>
      </c>
      <c r="AC15" s="1810">
        <f t="shared" si="5"/>
        <v>1</v>
      </c>
    </row>
    <row r="16" spans="1:29" ht="15">
      <c r="A16" s="367"/>
      <c r="B16" s="555"/>
      <c r="C16" s="1756" t="s">
        <v>3431</v>
      </c>
      <c r="D16" s="387"/>
      <c r="E16" s="1756" t="s">
        <v>3431</v>
      </c>
      <c r="F16" s="387"/>
      <c r="G16" s="1756" t="s">
        <v>3431</v>
      </c>
      <c r="H16" s="389"/>
      <c r="I16" s="1756" t="s">
        <v>3431</v>
      </c>
      <c r="J16" s="387"/>
      <c r="K16" s="541"/>
      <c r="L16" s="2490"/>
      <c r="M16" s="2485"/>
      <c r="N16" s="2485"/>
      <c r="O16" s="2485"/>
      <c r="P16" s="3367"/>
      <c r="Q16" s="1261"/>
      <c r="R16" s="665"/>
      <c r="S16" s="666"/>
      <c r="T16" s="665"/>
      <c r="U16" s="666"/>
      <c r="V16" s="665"/>
      <c r="W16" s="666"/>
      <c r="X16" s="1263"/>
      <c r="Y16" s="3369"/>
      <c r="Z16" s="1262"/>
      <c r="AA16" s="1262">
        <v>1</v>
      </c>
      <c r="AB16" s="1262">
        <v>1</v>
      </c>
      <c r="AC16" s="1810">
        <v>1</v>
      </c>
    </row>
    <row r="17" spans="1:29" ht="82.8">
      <c r="A17" s="367"/>
      <c r="B17" s="556" t="s">
        <v>1257</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7"/>
      <c r="Q17" s="1261" t="str">
        <f>B17</f>
        <v>交通便捷度</v>
      </c>
      <c r="R17" s="665" t="s">
        <v>14</v>
      </c>
      <c r="S17" s="666">
        <f>F17</f>
        <v>100</v>
      </c>
      <c r="T17" s="665" t="s">
        <v>14</v>
      </c>
      <c r="U17" s="666">
        <f>H17</f>
        <v>100</v>
      </c>
      <c r="V17" s="665" t="s">
        <v>14</v>
      </c>
      <c r="W17" s="666">
        <f>J17</f>
        <v>100</v>
      </c>
      <c r="X17" s="1263"/>
      <c r="Y17" s="3369"/>
      <c r="Z17" s="1262" t="str">
        <f>Q17</f>
        <v>交通便捷度</v>
      </c>
      <c r="AA17" s="1262">
        <f t="shared" si="3"/>
        <v>1</v>
      </c>
      <c r="AB17" s="1262">
        <f t="shared" si="4"/>
        <v>1</v>
      </c>
      <c r="AC17" s="1810">
        <f t="shared" si="5"/>
        <v>1</v>
      </c>
    </row>
    <row r="18" spans="1:29" ht="15">
      <c r="A18" s="367"/>
      <c r="B18" s="401"/>
      <c r="C18" s="1756" t="s">
        <v>3431</v>
      </c>
      <c r="D18" s="389"/>
      <c r="E18" s="1756" t="s">
        <v>3431</v>
      </c>
      <c r="F18" s="389"/>
      <c r="G18" s="1756" t="s">
        <v>3431</v>
      </c>
      <c r="H18" s="387"/>
      <c r="I18" s="1756" t="s">
        <v>3431</v>
      </c>
      <c r="J18" s="387"/>
      <c r="K18" s="541"/>
      <c r="L18" s="2490"/>
      <c r="M18" s="2485"/>
      <c r="N18" s="2485"/>
      <c r="O18" s="2485"/>
      <c r="P18" s="3367"/>
      <c r="Q18" s="1261"/>
      <c r="R18" s="665"/>
      <c r="S18" s="666"/>
      <c r="T18" s="665"/>
      <c r="U18" s="666"/>
      <c r="V18" s="665"/>
      <c r="W18" s="666"/>
      <c r="X18" s="1263"/>
      <c r="Y18" s="3369"/>
      <c r="Z18" s="1262"/>
      <c r="AA18" s="1262">
        <v>1</v>
      </c>
      <c r="AB18" s="1262">
        <v>1</v>
      </c>
      <c r="AC18" s="1810">
        <v>1</v>
      </c>
    </row>
    <row r="19" spans="1:29" ht="41.4">
      <c r="A19" s="367"/>
      <c r="B19" s="556" t="s">
        <v>1810</v>
      </c>
      <c r="C19" s="1811" t="str">
        <f>估价对象房地状况!C7</f>
        <v>估价对象所在区域公共配套设施齐备情况</v>
      </c>
      <c r="D19" s="394">
        <v>100</v>
      </c>
      <c r="E19" s="398"/>
      <c r="F19" s="394">
        <f>SUMIF(81:81,E20,82:82)-SUMIF(81:81,C20,82:82)+100</f>
        <v>100</v>
      </c>
      <c r="G19" s="396"/>
      <c r="H19" s="389">
        <f>SUMIF(81:81,G20,82:82)-SUMIF(81:81,C20,82:82)+100</f>
        <v>104</v>
      </c>
      <c r="I19" s="396"/>
      <c r="J19" s="389">
        <f>SUMIF(81:81,I20,82:82)-SUMIF(81:81,C20,82:82)+100</f>
        <v>100</v>
      </c>
      <c r="K19" s="540">
        <v>4</v>
      </c>
      <c r="L19" s="2490"/>
      <c r="M19" s="2485"/>
      <c r="N19" s="2485"/>
      <c r="O19" s="2485"/>
      <c r="P19" s="3367"/>
      <c r="Q19" s="1261" t="str">
        <f>B19</f>
        <v>公共配套设施</v>
      </c>
      <c r="R19" s="665" t="s">
        <v>14</v>
      </c>
      <c r="S19" s="666">
        <f>F19</f>
        <v>100</v>
      </c>
      <c r="T19" s="665" t="s">
        <v>14</v>
      </c>
      <c r="U19" s="666">
        <f>H19</f>
        <v>104</v>
      </c>
      <c r="V19" s="665" t="s">
        <v>14</v>
      </c>
      <c r="W19" s="666">
        <f>J19</f>
        <v>100</v>
      </c>
      <c r="X19" s="1263"/>
      <c r="Y19" s="3369"/>
      <c r="Z19" s="1262" t="str">
        <f>Q19</f>
        <v>公共配套设施</v>
      </c>
      <c r="AA19" s="1262">
        <f t="shared" si="3"/>
        <v>1</v>
      </c>
      <c r="AB19" s="1262">
        <f t="shared" si="4"/>
        <v>0.96153846153846156</v>
      </c>
      <c r="AC19" s="1810">
        <f t="shared" si="5"/>
        <v>1</v>
      </c>
    </row>
    <row r="20" spans="1:29" ht="15">
      <c r="A20" s="367"/>
      <c r="B20" s="401"/>
      <c r="C20" s="1756" t="s">
        <v>3431</v>
      </c>
      <c r="D20" s="387"/>
      <c r="E20" s="1756" t="s">
        <v>3431</v>
      </c>
      <c r="F20" s="387"/>
      <c r="G20" s="1750" t="s">
        <v>3432</v>
      </c>
      <c r="H20" s="387"/>
      <c r="I20" s="1750" t="s">
        <v>3431</v>
      </c>
      <c r="J20" s="387"/>
      <c r="K20" s="541"/>
      <c r="L20" s="2490"/>
      <c r="M20" s="2485"/>
      <c r="N20" s="2485"/>
      <c r="O20" s="2485"/>
      <c r="P20" s="3367"/>
      <c r="Q20" s="1261"/>
      <c r="R20" s="665"/>
      <c r="S20" s="666"/>
      <c r="T20" s="665"/>
      <c r="U20" s="666"/>
      <c r="V20" s="665"/>
      <c r="W20" s="666"/>
      <c r="X20" s="1263"/>
      <c r="Y20" s="3369"/>
      <c r="Z20" s="1262"/>
      <c r="AA20" s="1262">
        <v>1</v>
      </c>
      <c r="AB20" s="1262">
        <v>1</v>
      </c>
      <c r="AC20" s="1810">
        <v>1</v>
      </c>
    </row>
    <row r="21" spans="1:29" ht="27.6">
      <c r="A21" s="367"/>
      <c r="B21" s="557" t="s">
        <v>1811</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67"/>
      <c r="Q21" s="1261" t="str">
        <f>B21</f>
        <v>基础设施水平</v>
      </c>
      <c r="R21" s="665" t="s">
        <v>14</v>
      </c>
      <c r="S21" s="666">
        <f>F21</f>
        <v>100</v>
      </c>
      <c r="T21" s="665" t="s">
        <v>14</v>
      </c>
      <c r="U21" s="666">
        <f>H21</f>
        <v>100</v>
      </c>
      <c r="V21" s="665" t="s">
        <v>14</v>
      </c>
      <c r="W21" s="666">
        <f>J21</f>
        <v>100</v>
      </c>
      <c r="X21" s="1263"/>
      <c r="Y21" s="3369"/>
      <c r="Z21" s="1262" t="str">
        <f>Q21</f>
        <v>基础设施水平</v>
      </c>
      <c r="AA21" s="1262">
        <f t="shared" ref="AA21" si="8">D21/F21</f>
        <v>1</v>
      </c>
      <c r="AB21" s="1262">
        <f t="shared" ref="AB21" si="9">D21/H21</f>
        <v>1</v>
      </c>
      <c r="AC21" s="1810">
        <f t="shared" ref="AC21" si="10">D21/J21</f>
        <v>1</v>
      </c>
    </row>
    <row r="22" spans="1:29" ht="15">
      <c r="A22" s="367"/>
      <c r="B22" s="557"/>
      <c r="C22" s="1812" t="s">
        <v>3499</v>
      </c>
      <c r="D22" s="387"/>
      <c r="E22" s="1812" t="s">
        <v>3499</v>
      </c>
      <c r="F22" s="387"/>
      <c r="G22" s="1812" t="s">
        <v>3499</v>
      </c>
      <c r="H22" s="387"/>
      <c r="I22" s="1812" t="s">
        <v>3499</v>
      </c>
      <c r="J22" s="387"/>
      <c r="K22" s="1062"/>
      <c r="L22" s="2490"/>
      <c r="M22" s="2485"/>
      <c r="N22" s="2485"/>
      <c r="O22" s="2485"/>
      <c r="P22" s="3367"/>
      <c r="Q22" s="1261"/>
      <c r="R22" s="665"/>
      <c r="S22" s="666"/>
      <c r="T22" s="665"/>
      <c r="U22" s="666"/>
      <c r="V22" s="665"/>
      <c r="W22" s="666"/>
      <c r="X22" s="1263"/>
      <c r="Y22" s="3369"/>
      <c r="Z22" s="1262"/>
      <c r="AA22" s="1262">
        <v>1</v>
      </c>
      <c r="AB22" s="1262">
        <v>1</v>
      </c>
      <c r="AC22" s="1810">
        <v>1</v>
      </c>
    </row>
    <row r="23" spans="1:29" ht="55.2">
      <c r="A23" s="367"/>
      <c r="B23" s="556" t="s">
        <v>1812</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67"/>
      <c r="Q23" s="1261" t="str">
        <f>B23</f>
        <v>环境质量</v>
      </c>
      <c r="R23" s="665" t="s">
        <v>14</v>
      </c>
      <c r="S23" s="666">
        <f>F23</f>
        <v>100</v>
      </c>
      <c r="T23" s="665" t="s">
        <v>14</v>
      </c>
      <c r="U23" s="666">
        <f>H23</f>
        <v>100</v>
      </c>
      <c r="V23" s="665" t="s">
        <v>14</v>
      </c>
      <c r="W23" s="666">
        <f>J23</f>
        <v>100</v>
      </c>
      <c r="X23" s="1263"/>
      <c r="Y23" s="3369"/>
      <c r="Z23" s="1262" t="str">
        <f>Q23</f>
        <v>环境质量</v>
      </c>
      <c r="AA23" s="1262">
        <f t="shared" si="3"/>
        <v>1</v>
      </c>
      <c r="AB23" s="1262">
        <f t="shared" si="4"/>
        <v>1</v>
      </c>
      <c r="AC23" s="1810">
        <f t="shared" si="5"/>
        <v>1</v>
      </c>
    </row>
    <row r="24" spans="1:29" ht="15">
      <c r="A24" s="367"/>
      <c r="B24" s="557"/>
      <c r="C24" s="1756" t="s">
        <v>3432</v>
      </c>
      <c r="D24" s="387"/>
      <c r="E24" s="1756" t="s">
        <v>3432</v>
      </c>
      <c r="F24" s="387"/>
      <c r="G24" s="1756" t="s">
        <v>3432</v>
      </c>
      <c r="H24" s="387"/>
      <c r="I24" s="1756" t="s">
        <v>3432</v>
      </c>
      <c r="J24" s="387"/>
      <c r="K24" s="541"/>
      <c r="L24" s="2490"/>
      <c r="M24" s="2485"/>
      <c r="N24" s="2485"/>
      <c r="O24" s="2485"/>
      <c r="P24" s="3367"/>
      <c r="Q24" s="1261"/>
      <c r="R24" s="665"/>
      <c r="S24" s="666"/>
      <c r="T24" s="665"/>
      <c r="U24" s="666"/>
      <c r="V24" s="665"/>
      <c r="W24" s="666"/>
      <c r="X24" s="1263"/>
      <c r="Y24" s="3369"/>
      <c r="Z24" s="1262"/>
      <c r="AA24" s="1262">
        <v>1</v>
      </c>
      <c r="AB24" s="1262">
        <v>1</v>
      </c>
      <c r="AC24" s="1810">
        <v>1</v>
      </c>
    </row>
    <row r="25" spans="1:29" ht="28.8">
      <c r="A25" s="348"/>
      <c r="B25" s="556" t="s">
        <v>1813</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367"/>
      <c r="Q25" s="1261" t="str">
        <f>B25</f>
        <v>毗邻道路的类型与等级</v>
      </c>
      <c r="R25" s="665" t="s">
        <v>14</v>
      </c>
      <c r="S25" s="666">
        <f>F25</f>
        <v>100</v>
      </c>
      <c r="T25" s="665" t="s">
        <v>14</v>
      </c>
      <c r="U25" s="666">
        <f>H25</f>
        <v>100</v>
      </c>
      <c r="V25" s="665" t="s">
        <v>14</v>
      </c>
      <c r="W25" s="666">
        <f>J25</f>
        <v>100</v>
      </c>
      <c r="X25" s="1263"/>
      <c r="Y25" s="3369"/>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0"/>
      <c r="M26" s="2485"/>
      <c r="N26" s="2485"/>
      <c r="O26" s="2485"/>
      <c r="P26" s="3367"/>
      <c r="Q26" s="1261"/>
      <c r="R26" s="665"/>
      <c r="S26" s="666"/>
      <c r="T26" s="665"/>
      <c r="U26" s="666"/>
      <c r="V26" s="665"/>
      <c r="W26" s="666"/>
      <c r="X26" s="1263"/>
      <c r="Y26" s="3369"/>
      <c r="Z26" s="1262"/>
      <c r="AA26" s="1262">
        <v>1</v>
      </c>
      <c r="AB26" s="1262">
        <v>1</v>
      </c>
      <c r="AC26" s="1810">
        <v>1</v>
      </c>
    </row>
    <row r="27" spans="1:29" ht="15.6" thickBot="1">
      <c r="A27" s="367"/>
      <c r="B27" s="401" t="s">
        <v>1781</v>
      </c>
      <c r="C27" s="558" t="s">
        <v>3502</v>
      </c>
      <c r="D27" s="374">
        <v>100</v>
      </c>
      <c r="E27" s="542" t="s">
        <v>3500</v>
      </c>
      <c r="F27" s="374">
        <f>SUMIF(89:89,E27,90:90)-SUMIF(89:89,C27,90:90)+100</f>
        <v>101</v>
      </c>
      <c r="G27" s="542" t="s">
        <v>3500</v>
      </c>
      <c r="H27" s="374">
        <f>SUMIF(89:89,G27,90:90)-SUMIF(89:89,C27,90:90)+100</f>
        <v>101</v>
      </c>
      <c r="I27" s="542" t="s">
        <v>3500</v>
      </c>
      <c r="J27" s="374">
        <f>SUMIF(89:89,I27,90:90)-SUMIF(89:89,C27,90:90)+100</f>
        <v>101</v>
      </c>
      <c r="K27" s="538">
        <v>1</v>
      </c>
      <c r="L27" s="2490"/>
      <c r="M27" s="2485"/>
      <c r="N27" s="2485"/>
      <c r="O27" s="2485"/>
      <c r="P27" s="3367"/>
      <c r="Q27" s="1261" t="str">
        <f t="shared" ref="Q27:Q47" si="11">B27</f>
        <v>楼层</v>
      </c>
      <c r="R27" s="665" t="s">
        <v>14</v>
      </c>
      <c r="S27" s="666">
        <f>F27</f>
        <v>101</v>
      </c>
      <c r="T27" s="665" t="s">
        <v>14</v>
      </c>
      <c r="U27" s="666">
        <f>H27</f>
        <v>101</v>
      </c>
      <c r="V27" s="665" t="s">
        <v>14</v>
      </c>
      <c r="W27" s="666">
        <f>J27</f>
        <v>101</v>
      </c>
      <c r="X27" s="1263"/>
      <c r="Y27" s="3369"/>
      <c r="Z27" s="1262" t="str">
        <f>Q27</f>
        <v>楼层</v>
      </c>
      <c r="AA27" s="1262">
        <f t="shared" si="3"/>
        <v>0.99009900990099009</v>
      </c>
      <c r="AB27" s="1262">
        <f t="shared" si="4"/>
        <v>0.99009900990099009</v>
      </c>
      <c r="AC27" s="1810">
        <f t="shared" si="5"/>
        <v>0.99009900990099009</v>
      </c>
    </row>
    <row r="28" spans="1:29" s="102" customFormat="1" ht="15" hidden="1">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8"/>
      <c r="N28" s="2438"/>
      <c r="O28" s="2438"/>
      <c r="P28" s="3367"/>
      <c r="Q28" s="530" t="str">
        <f t="shared" si="11"/>
        <v>朝向</v>
      </c>
      <c r="R28" s="662" t="s">
        <v>14</v>
      </c>
      <c r="S28" s="663">
        <f>F28</f>
        <v>100</v>
      </c>
      <c r="T28" s="662" t="s">
        <v>14</v>
      </c>
      <c r="U28" s="663">
        <f>H28</f>
        <v>100</v>
      </c>
      <c r="V28" s="662" t="s">
        <v>14</v>
      </c>
      <c r="W28" s="663">
        <f>J28</f>
        <v>100</v>
      </c>
      <c r="X28" s="664"/>
      <c r="Y28" s="3369"/>
      <c r="Z28" s="50" t="str">
        <f>Q28</f>
        <v>朝向</v>
      </c>
      <c r="AA28" s="1262">
        <f>D28/F28</f>
        <v>1</v>
      </c>
      <c r="AB28" s="1262">
        <f>D28/H28</f>
        <v>1</v>
      </c>
      <c r="AC28" s="1810">
        <f>D28/J28</f>
        <v>1</v>
      </c>
    </row>
    <row r="29" spans="1:29" ht="15" hidden="1">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67"/>
      <c r="Q29" s="1261">
        <f t="shared" si="11"/>
        <v>111</v>
      </c>
      <c r="R29" s="665" t="s">
        <v>14</v>
      </c>
      <c r="S29" s="666">
        <f t="shared" ref="S29:S47" si="12">F29</f>
        <v>100</v>
      </c>
      <c r="T29" s="665" t="s">
        <v>14</v>
      </c>
      <c r="U29" s="666">
        <f t="shared" ref="U29:U47" si="13">H29</f>
        <v>100</v>
      </c>
      <c r="V29" s="665" t="s">
        <v>14</v>
      </c>
      <c r="W29" s="666">
        <f t="shared" ref="W29:W47" si="14">J29</f>
        <v>100</v>
      </c>
      <c r="X29" s="1263"/>
      <c r="Y29" s="3369"/>
      <c r="Z29" s="1262">
        <f t="shared" ref="Z29:Z47" si="15">Q29</f>
        <v>111</v>
      </c>
      <c r="AA29" s="1262">
        <f t="shared" si="3"/>
        <v>1</v>
      </c>
      <c r="AB29" s="1262">
        <f t="shared" si="4"/>
        <v>1</v>
      </c>
      <c r="AC29" s="1810">
        <f t="shared" si="5"/>
        <v>1</v>
      </c>
    </row>
    <row r="30" spans="1:29" ht="15" hidden="1">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67"/>
      <c r="Q30" s="1261">
        <f t="shared" si="11"/>
        <v>111</v>
      </c>
      <c r="R30" s="665" t="s">
        <v>14</v>
      </c>
      <c r="S30" s="666">
        <f t="shared" si="12"/>
        <v>100</v>
      </c>
      <c r="T30" s="665" t="s">
        <v>14</v>
      </c>
      <c r="U30" s="666">
        <f t="shared" si="13"/>
        <v>100</v>
      </c>
      <c r="V30" s="665" t="s">
        <v>14</v>
      </c>
      <c r="W30" s="666">
        <f t="shared" si="14"/>
        <v>100</v>
      </c>
      <c r="X30" s="1263"/>
      <c r="Y30" s="3369"/>
      <c r="Z30" s="1262">
        <f t="shared" si="15"/>
        <v>111</v>
      </c>
      <c r="AA30" s="1262">
        <f t="shared" si="3"/>
        <v>1</v>
      </c>
      <c r="AB30" s="1262">
        <f t="shared" si="4"/>
        <v>1</v>
      </c>
      <c r="AC30" s="1810">
        <f t="shared" si="5"/>
        <v>1</v>
      </c>
    </row>
    <row r="31" spans="1:29" ht="15" hidden="1">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67"/>
      <c r="Q31" s="1261">
        <f t="shared" si="11"/>
        <v>111</v>
      </c>
      <c r="R31" s="665" t="s">
        <v>14</v>
      </c>
      <c r="S31" s="666">
        <f t="shared" si="12"/>
        <v>100</v>
      </c>
      <c r="T31" s="665" t="s">
        <v>14</v>
      </c>
      <c r="U31" s="666">
        <f t="shared" si="13"/>
        <v>100</v>
      </c>
      <c r="V31" s="665" t="s">
        <v>14</v>
      </c>
      <c r="W31" s="666">
        <f t="shared" si="14"/>
        <v>100</v>
      </c>
      <c r="X31" s="1263"/>
      <c r="Y31" s="3369"/>
      <c r="Z31" s="1262">
        <f t="shared" si="15"/>
        <v>111</v>
      </c>
      <c r="AA31" s="1262">
        <f t="shared" si="3"/>
        <v>1</v>
      </c>
      <c r="AB31" s="1262">
        <f t="shared" si="4"/>
        <v>1</v>
      </c>
      <c r="AC31" s="1810">
        <f t="shared" si="5"/>
        <v>1</v>
      </c>
    </row>
    <row r="32" spans="1:29" ht="15.6" hidden="1"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67"/>
      <c r="Q32" s="1261">
        <f t="shared" si="11"/>
        <v>111</v>
      </c>
      <c r="R32" s="665" t="s">
        <v>14</v>
      </c>
      <c r="S32" s="666">
        <f t="shared" si="12"/>
        <v>100</v>
      </c>
      <c r="T32" s="665" t="s">
        <v>14</v>
      </c>
      <c r="U32" s="666">
        <f t="shared" si="13"/>
        <v>100</v>
      </c>
      <c r="V32" s="665" t="s">
        <v>14</v>
      </c>
      <c r="W32" s="666">
        <f t="shared" si="14"/>
        <v>100</v>
      </c>
      <c r="X32" s="1263"/>
      <c r="Y32" s="3369"/>
      <c r="Z32" s="1262">
        <f t="shared" si="15"/>
        <v>111</v>
      </c>
      <c r="AA32" s="1262">
        <f t="shared" si="3"/>
        <v>1</v>
      </c>
      <c r="AB32" s="1262">
        <f t="shared" si="4"/>
        <v>1</v>
      </c>
      <c r="AC32" s="1810">
        <f t="shared" si="5"/>
        <v>1</v>
      </c>
    </row>
    <row r="33" spans="1:29" ht="15">
      <c r="A33" s="379" t="s">
        <v>1692</v>
      </c>
      <c r="B33" s="60" t="s">
        <v>1815</v>
      </c>
      <c r="C33" s="1762" t="s">
        <v>3504</v>
      </c>
      <c r="D33" s="405">
        <v>100</v>
      </c>
      <c r="E33" s="1762" t="s">
        <v>3504</v>
      </c>
      <c r="F33" s="400">
        <f>SUMIF(101:101,E33,102:102)-SUMIF(101:101,C33,102:102)+100</f>
        <v>100</v>
      </c>
      <c r="G33" s="1762" t="s">
        <v>3504</v>
      </c>
      <c r="H33" s="374">
        <f>SUMIF(101:101,G33,102:102)-SUMIF(101:101,C33,102:102)+100</f>
        <v>100</v>
      </c>
      <c r="I33" s="1762" t="s">
        <v>3504</v>
      </c>
      <c r="J33" s="405">
        <f>SUMIF(101:101,I33,102:102)-SUMIF(101:101,C33,102:102)+100</f>
        <v>100</v>
      </c>
      <c r="K33" s="538">
        <v>2</v>
      </c>
      <c r="L33" s="2490"/>
      <c r="M33" s="2485"/>
      <c r="N33" s="2485"/>
      <c r="O33" s="2485"/>
      <c r="P33" s="3370" t="s">
        <v>1694</v>
      </c>
      <c r="Q33" s="1261" t="str">
        <f t="shared" si="11"/>
        <v>建筑类型</v>
      </c>
      <c r="R33" s="665" t="s">
        <v>14</v>
      </c>
      <c r="S33" s="666">
        <f t="shared" si="12"/>
        <v>100</v>
      </c>
      <c r="T33" s="665" t="s">
        <v>14</v>
      </c>
      <c r="U33" s="666">
        <f t="shared" si="13"/>
        <v>100</v>
      </c>
      <c r="V33" s="665" t="s">
        <v>14</v>
      </c>
      <c r="W33" s="666">
        <f t="shared" si="14"/>
        <v>100</v>
      </c>
      <c r="X33" s="1263"/>
      <c r="Y33" s="3373" t="s">
        <v>1694</v>
      </c>
      <c r="Z33" s="1262" t="str">
        <f t="shared" si="15"/>
        <v>建筑类型</v>
      </c>
      <c r="AA33" s="1262">
        <f t="shared" si="3"/>
        <v>1</v>
      </c>
      <c r="AB33" s="1262">
        <f t="shared" si="4"/>
        <v>1</v>
      </c>
      <c r="AC33" s="1810">
        <f t="shared" si="5"/>
        <v>1</v>
      </c>
    </row>
    <row r="34" spans="1:29" s="408" customFormat="1" ht="15">
      <c r="A34" s="406"/>
      <c r="B34" s="364" t="s">
        <v>1695</v>
      </c>
      <c r="C34" s="407">
        <f>'数据-汇总表'!F19</f>
        <v>11487.92</v>
      </c>
      <c r="D34" s="119">
        <v>100</v>
      </c>
      <c r="E34" s="369">
        <v>1200</v>
      </c>
      <c r="F34" s="364">
        <f>LOOKUP(E34,104:104,105:105)-LOOKUP(C34,104:104,105:105)+100</f>
        <v>103</v>
      </c>
      <c r="G34" s="368">
        <v>700</v>
      </c>
      <c r="H34" s="119">
        <f>LOOKUP(G34,104:104,105:105)-LOOKUP(C34,104:104,105:105)+100</f>
        <v>103</v>
      </c>
      <c r="I34" s="368">
        <v>613</v>
      </c>
      <c r="J34" s="119">
        <f>LOOKUP(I34,104:104,105:105)-LOOKUP(C34,104:104,105:105)+100</f>
        <v>103</v>
      </c>
      <c r="K34" s="539"/>
      <c r="L34" s="2489"/>
      <c r="M34" s="2491"/>
      <c r="N34" s="2491"/>
      <c r="O34" s="2491"/>
      <c r="P34" s="3371"/>
      <c r="Q34" s="531" t="str">
        <f t="shared" si="11"/>
        <v>项目建筑规模</v>
      </c>
      <c r="R34" s="667" t="s">
        <v>14</v>
      </c>
      <c r="S34" s="668">
        <f t="shared" si="12"/>
        <v>103</v>
      </c>
      <c r="T34" s="667" t="s">
        <v>14</v>
      </c>
      <c r="U34" s="668">
        <f t="shared" si="13"/>
        <v>103</v>
      </c>
      <c r="V34" s="667" t="s">
        <v>14</v>
      </c>
      <c r="W34" s="668">
        <f t="shared" si="14"/>
        <v>103</v>
      </c>
      <c r="X34" s="669"/>
      <c r="Y34" s="3373"/>
      <c r="Z34" s="670" t="str">
        <f t="shared" si="15"/>
        <v>项目建筑规模</v>
      </c>
      <c r="AA34" s="1262">
        <f t="shared" si="3"/>
        <v>0.970873786407767</v>
      </c>
      <c r="AB34" s="1262">
        <f t="shared" si="4"/>
        <v>0.970873786407767</v>
      </c>
      <c r="AC34" s="1810">
        <f t="shared" si="5"/>
        <v>0.970873786407767</v>
      </c>
    </row>
    <row r="35" spans="1:29" ht="15">
      <c r="A35" s="409"/>
      <c r="B35" s="364" t="s">
        <v>1696</v>
      </c>
      <c r="C35" s="399" t="s">
        <v>3426</v>
      </c>
      <c r="D35" s="374">
        <v>100</v>
      </c>
      <c r="E35" s="399" t="s">
        <v>3426</v>
      </c>
      <c r="F35" s="400">
        <f>SUMIF(106:106,E35,107:107)-SUMIF(106:106,C35,107:107)+100</f>
        <v>100</v>
      </c>
      <c r="G35" s="399" t="s">
        <v>3426</v>
      </c>
      <c r="H35" s="374">
        <f>SUMIF(106:106,G35,107:107)-SUMIF(106:106,C35,107:107)+100</f>
        <v>100</v>
      </c>
      <c r="I35" s="399" t="s">
        <v>3426</v>
      </c>
      <c r="J35" s="374">
        <f>SUMIF(106:106,I35,107:107)-SUMIF(106:106,C35,107:107)+100</f>
        <v>100</v>
      </c>
      <c r="K35" s="538">
        <v>1</v>
      </c>
      <c r="L35" s="2490"/>
      <c r="M35" s="2485"/>
      <c r="N35" s="2485"/>
      <c r="O35" s="2485"/>
      <c r="P35" s="3371"/>
      <c r="Q35" s="1261" t="str">
        <f t="shared" si="11"/>
        <v>建筑结构</v>
      </c>
      <c r="R35" s="665" t="s">
        <v>14</v>
      </c>
      <c r="S35" s="666">
        <f t="shared" si="12"/>
        <v>100</v>
      </c>
      <c r="T35" s="665" t="s">
        <v>14</v>
      </c>
      <c r="U35" s="666">
        <f t="shared" si="13"/>
        <v>100</v>
      </c>
      <c r="V35" s="665" t="s">
        <v>14</v>
      </c>
      <c r="W35" s="666">
        <f t="shared" si="14"/>
        <v>100</v>
      </c>
      <c r="X35" s="1263"/>
      <c r="Y35" s="3373"/>
      <c r="Z35" s="1262" t="str">
        <f t="shared" si="15"/>
        <v>建筑结构</v>
      </c>
      <c r="AA35" s="1262">
        <f t="shared" si="3"/>
        <v>1</v>
      </c>
      <c r="AB35" s="1262">
        <f t="shared" si="4"/>
        <v>1</v>
      </c>
      <c r="AC35" s="1810">
        <f t="shared" si="5"/>
        <v>1</v>
      </c>
    </row>
    <row r="36" spans="1:29" ht="15">
      <c r="A36" s="409"/>
      <c r="B36" s="364" t="s">
        <v>1783</v>
      </c>
      <c r="C36" s="399" t="s">
        <v>3507</v>
      </c>
      <c r="D36" s="374">
        <v>100</v>
      </c>
      <c r="E36" s="399" t="s">
        <v>3507</v>
      </c>
      <c r="F36" s="400">
        <f>SUMIF(108:108,E36,109:109)-SUMIF(108:108,C36,109:109)+100</f>
        <v>100</v>
      </c>
      <c r="G36" s="399" t="s">
        <v>3507</v>
      </c>
      <c r="H36" s="374">
        <f>SUMIF(108:108,G36,109:109)-SUMIF(108:108,C36,109:109)+100</f>
        <v>100</v>
      </c>
      <c r="I36" s="399" t="s">
        <v>3507</v>
      </c>
      <c r="J36" s="374">
        <f>SUMIF(108:108,I36,109:109)-SUMIF(108:108,C36,109:109)+100</f>
        <v>100</v>
      </c>
      <c r="K36" s="538">
        <v>1</v>
      </c>
      <c r="L36" s="2490"/>
      <c r="M36" s="2485"/>
      <c r="N36" s="2485"/>
      <c r="O36" s="2485"/>
      <c r="P36" s="3371"/>
      <c r="Q36" s="1261" t="str">
        <f t="shared" si="11"/>
        <v>公共部分装修</v>
      </c>
      <c r="R36" s="665" t="s">
        <v>14</v>
      </c>
      <c r="S36" s="666">
        <f t="shared" si="12"/>
        <v>100</v>
      </c>
      <c r="T36" s="665" t="s">
        <v>14</v>
      </c>
      <c r="U36" s="666">
        <f t="shared" si="13"/>
        <v>100</v>
      </c>
      <c r="V36" s="665" t="s">
        <v>14</v>
      </c>
      <c r="W36" s="666">
        <f t="shared" si="14"/>
        <v>100</v>
      </c>
      <c r="X36" s="1263"/>
      <c r="Y36" s="3373"/>
      <c r="Z36" s="1262" t="str">
        <f t="shared" si="15"/>
        <v>公共部分装修</v>
      </c>
      <c r="AA36" s="1262">
        <f t="shared" si="3"/>
        <v>1</v>
      </c>
      <c r="AB36" s="1262">
        <f t="shared" si="4"/>
        <v>1</v>
      </c>
      <c r="AC36" s="1810">
        <f t="shared" si="5"/>
        <v>1</v>
      </c>
    </row>
    <row r="37" spans="1:29" ht="15">
      <c r="A37" s="409"/>
      <c r="B37" s="364" t="s">
        <v>1784</v>
      </c>
      <c r="C37" s="411">
        <f>'数据-取费表'!N6</f>
        <v>0.85</v>
      </c>
      <c r="D37" s="374">
        <v>100</v>
      </c>
      <c r="E37" s="411">
        <v>0.95</v>
      </c>
      <c r="F37" s="400">
        <f>LOOKUP(E37,111:111,112:112)-LOOKUP(C37,111:111,112:112)+100</f>
        <v>101</v>
      </c>
      <c r="G37" s="411">
        <v>0.95</v>
      </c>
      <c r="H37" s="400">
        <f>LOOKUP(G37,111:111,112:112)-LOOKUP(C37,111:111,112:112)+100</f>
        <v>101</v>
      </c>
      <c r="I37" s="411">
        <v>0.9</v>
      </c>
      <c r="J37" s="374">
        <f>LOOKUP(I37,111:111,112:112)-LOOKUP(C37,111:111,112:112)+100</f>
        <v>101</v>
      </c>
      <c r="K37" s="538">
        <v>1</v>
      </c>
      <c r="L37" s="2490"/>
      <c r="M37" s="2485"/>
      <c r="N37" s="2485"/>
      <c r="O37" s="2485"/>
      <c r="P37" s="3371"/>
      <c r="Q37" s="1261" t="str">
        <f t="shared" si="11"/>
        <v>成新度</v>
      </c>
      <c r="R37" s="665" t="s">
        <v>14</v>
      </c>
      <c r="S37" s="666">
        <f t="shared" si="12"/>
        <v>101</v>
      </c>
      <c r="T37" s="665" t="s">
        <v>14</v>
      </c>
      <c r="U37" s="666">
        <f t="shared" si="13"/>
        <v>101</v>
      </c>
      <c r="V37" s="665" t="s">
        <v>14</v>
      </c>
      <c r="W37" s="666">
        <f t="shared" si="14"/>
        <v>101</v>
      </c>
      <c r="X37" s="1263"/>
      <c r="Y37" s="3373"/>
      <c r="Z37" s="1262" t="str">
        <f t="shared" si="15"/>
        <v>成新度</v>
      </c>
      <c r="AA37" s="1262">
        <f t="shared" si="3"/>
        <v>0.99009900990099009</v>
      </c>
      <c r="AB37" s="1262">
        <f t="shared" si="4"/>
        <v>0.99009900990099009</v>
      </c>
      <c r="AC37" s="1810">
        <f t="shared" si="5"/>
        <v>0.99009900990099009</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1"/>
      <c r="Q38" s="530" t="str">
        <f t="shared" si="11"/>
        <v>写字楼等级</v>
      </c>
      <c r="R38" s="662" t="s">
        <v>14</v>
      </c>
      <c r="S38" s="663">
        <f t="shared" si="12"/>
        <v>100</v>
      </c>
      <c r="T38" s="662" t="s">
        <v>14</v>
      </c>
      <c r="U38" s="663">
        <f t="shared" si="13"/>
        <v>100</v>
      </c>
      <c r="V38" s="662" t="s">
        <v>14</v>
      </c>
      <c r="W38" s="663">
        <f t="shared" si="14"/>
        <v>100</v>
      </c>
      <c r="X38" s="664"/>
      <c r="Y38" s="3373"/>
      <c r="Z38" s="50" t="str">
        <f t="shared" si="15"/>
        <v>写字楼等级</v>
      </c>
      <c r="AA38" s="50">
        <f t="shared" si="3"/>
        <v>1</v>
      </c>
      <c r="AB38" s="50">
        <f t="shared" si="4"/>
        <v>1</v>
      </c>
      <c r="AC38" s="800">
        <f t="shared" si="5"/>
        <v>1</v>
      </c>
    </row>
    <row r="39" spans="1:29" ht="15">
      <c r="A39" s="409"/>
      <c r="B39" s="364" t="s">
        <v>1817</v>
      </c>
      <c r="C39" s="399" t="s">
        <v>3509</v>
      </c>
      <c r="D39" s="374">
        <v>100</v>
      </c>
      <c r="E39" s="399" t="s">
        <v>3509</v>
      </c>
      <c r="F39" s="400">
        <f>SUMIF(115:115,E39,116:116)-SUMIF(115:115,C39,116:116)+100</f>
        <v>100</v>
      </c>
      <c r="G39" s="399" t="s">
        <v>3509</v>
      </c>
      <c r="H39" s="374">
        <f>SUMIF(115:115,G39,116:116)-SUMIF(115:115,C39,116:116)+100</f>
        <v>100</v>
      </c>
      <c r="I39" s="399" t="s">
        <v>3509</v>
      </c>
      <c r="J39" s="374">
        <f>SUMIF(115:115,I39,116:116)-SUMIF(115:115,C39,116:116)+100</f>
        <v>100</v>
      </c>
      <c r="K39" s="538">
        <v>1</v>
      </c>
      <c r="L39" s="2490"/>
      <c r="M39" s="2485"/>
      <c r="N39" s="2485"/>
      <c r="O39" s="2485"/>
      <c r="P39" s="3371" t="s">
        <v>1694</v>
      </c>
      <c r="Q39" s="1261" t="str">
        <f t="shared" si="11"/>
        <v>物业管理</v>
      </c>
      <c r="R39" s="665" t="s">
        <v>14</v>
      </c>
      <c r="S39" s="666">
        <f t="shared" si="12"/>
        <v>100</v>
      </c>
      <c r="T39" s="665" t="s">
        <v>14</v>
      </c>
      <c r="U39" s="666">
        <f t="shared" si="13"/>
        <v>100</v>
      </c>
      <c r="V39" s="665" t="s">
        <v>14</v>
      </c>
      <c r="W39" s="666">
        <f t="shared" si="14"/>
        <v>100</v>
      </c>
      <c r="X39" s="1263"/>
      <c r="Y39" s="3373" t="s">
        <v>1694</v>
      </c>
      <c r="Z39" s="1262" t="str">
        <f t="shared" si="15"/>
        <v>物业管理</v>
      </c>
      <c r="AA39" s="1262">
        <f t="shared" si="3"/>
        <v>1</v>
      </c>
      <c r="AB39" s="1262">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1"/>
      <c r="Q40" s="1261" t="str">
        <f t="shared" si="11"/>
        <v>市政基础设施</v>
      </c>
      <c r="R40" s="665" t="s">
        <v>14</v>
      </c>
      <c r="S40" s="666">
        <f t="shared" si="12"/>
        <v>100</v>
      </c>
      <c r="T40" s="665" t="s">
        <v>14</v>
      </c>
      <c r="U40" s="666">
        <f t="shared" si="13"/>
        <v>100</v>
      </c>
      <c r="V40" s="665" t="s">
        <v>14</v>
      </c>
      <c r="W40" s="666">
        <f t="shared" si="14"/>
        <v>100</v>
      </c>
      <c r="X40" s="1263"/>
      <c r="Y40" s="3373"/>
      <c r="Z40" s="1262" t="str">
        <f t="shared" si="15"/>
        <v>市政基础设施</v>
      </c>
      <c r="AA40" s="1262">
        <f t="shared" si="3"/>
        <v>1</v>
      </c>
      <c r="AB40" s="1262">
        <f t="shared" si="4"/>
        <v>1</v>
      </c>
      <c r="AC40" s="1810">
        <f t="shared" si="5"/>
        <v>1</v>
      </c>
    </row>
    <row r="41" spans="1:29" ht="15">
      <c r="A41" s="409"/>
      <c r="B41" s="364" t="s">
        <v>1787</v>
      </c>
      <c r="C41" s="542" t="s">
        <v>3511</v>
      </c>
      <c r="D41" s="374">
        <v>100</v>
      </c>
      <c r="E41" s="542" t="s">
        <v>3511</v>
      </c>
      <c r="F41" s="400">
        <f>SUMIF(119:119,E41,120:120)-SUMIF(119:119,C41,120:120)+100</f>
        <v>100</v>
      </c>
      <c r="G41" s="542" t="s">
        <v>3511</v>
      </c>
      <c r="H41" s="374">
        <f>SUMIF(119:119,G41,120:120)-SUMIF(119:119,C41,120:120)+100</f>
        <v>100</v>
      </c>
      <c r="I41" s="542" t="s">
        <v>3511</v>
      </c>
      <c r="J41" s="374">
        <f>SUMIF(119:119,I41,120:120)-SUMIF(119:119,C41,120:120)+100</f>
        <v>100</v>
      </c>
      <c r="K41" s="538">
        <v>1</v>
      </c>
      <c r="L41" s="2490"/>
      <c r="M41" s="2485"/>
      <c r="N41" s="2485"/>
      <c r="O41" s="2485"/>
      <c r="P41" s="3371"/>
      <c r="Q41" s="1261" t="str">
        <f t="shared" si="11"/>
        <v>层高</v>
      </c>
      <c r="R41" s="665" t="s">
        <v>14</v>
      </c>
      <c r="S41" s="666">
        <f t="shared" si="12"/>
        <v>100</v>
      </c>
      <c r="T41" s="665" t="s">
        <v>14</v>
      </c>
      <c r="U41" s="666">
        <f t="shared" si="13"/>
        <v>100</v>
      </c>
      <c r="V41" s="665" t="s">
        <v>14</v>
      </c>
      <c r="W41" s="666">
        <f t="shared" si="14"/>
        <v>100</v>
      </c>
      <c r="X41" s="1263"/>
      <c r="Y41" s="3373"/>
      <c r="Z41" s="1262" t="str">
        <f t="shared" si="15"/>
        <v>层高</v>
      </c>
      <c r="AA41" s="1262">
        <f t="shared" si="3"/>
        <v>1</v>
      </c>
      <c r="AB41" s="1262">
        <f t="shared" si="4"/>
        <v>1</v>
      </c>
      <c r="AC41" s="1810">
        <f t="shared" si="5"/>
        <v>1</v>
      </c>
    </row>
    <row r="42" spans="1:29" s="408" customFormat="1" ht="15" hidden="1">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1"/>
      <c r="Q42" s="531" t="str">
        <f t="shared" si="11"/>
        <v>单套建筑面积</v>
      </c>
      <c r="R42" s="667" t="s">
        <v>14</v>
      </c>
      <c r="S42" s="668">
        <f t="shared" si="12"/>
        <v>100</v>
      </c>
      <c r="T42" s="667" t="s">
        <v>14</v>
      </c>
      <c r="U42" s="668">
        <f t="shared" si="13"/>
        <v>100</v>
      </c>
      <c r="V42" s="667" t="s">
        <v>14</v>
      </c>
      <c r="W42" s="668">
        <f t="shared" si="14"/>
        <v>100</v>
      </c>
      <c r="X42" s="669"/>
      <c r="Y42" s="3373"/>
      <c r="Z42" s="670" t="str">
        <f t="shared" si="15"/>
        <v>单套建筑面积</v>
      </c>
      <c r="AA42" s="1262">
        <f t="shared" si="3"/>
        <v>1</v>
      </c>
      <c r="AB42" s="1262">
        <f t="shared" si="4"/>
        <v>1</v>
      </c>
      <c r="AC42" s="1810">
        <f t="shared" si="5"/>
        <v>1</v>
      </c>
    </row>
    <row r="43" spans="1:29" ht="15">
      <c r="A43" s="409"/>
      <c r="B43" s="364" t="s">
        <v>1790</v>
      </c>
      <c r="C43" s="399" t="s">
        <v>3507</v>
      </c>
      <c r="D43" s="374">
        <v>100</v>
      </c>
      <c r="E43" s="399" t="s">
        <v>3515</v>
      </c>
      <c r="F43" s="400">
        <f>SUMIF(123:123,E43,124:124)-SUMIF(123:123,C43,124:124)+100</f>
        <v>95.5</v>
      </c>
      <c r="G43" s="399" t="s">
        <v>3515</v>
      </c>
      <c r="H43" s="374">
        <f>SUMIF(123:123,G43,124:124)-SUMIF(123:123,C43,124:124)+100</f>
        <v>95.5</v>
      </c>
      <c r="I43" s="399" t="s">
        <v>3515</v>
      </c>
      <c r="J43" s="374">
        <f>SUMIF(123:123,I43,124:124)-SUMIF(123:123,C43,124:124)+100</f>
        <v>95.5</v>
      </c>
      <c r="K43" s="538">
        <v>1.5</v>
      </c>
      <c r="L43" s="2490"/>
      <c r="M43" s="2485"/>
      <c r="N43" s="2485"/>
      <c r="O43" s="2485"/>
      <c r="P43" s="3371"/>
      <c r="Q43" s="1261" t="str">
        <f t="shared" si="11"/>
        <v>内部装修</v>
      </c>
      <c r="R43" s="665" t="s">
        <v>14</v>
      </c>
      <c r="S43" s="666">
        <f t="shared" si="12"/>
        <v>95.5</v>
      </c>
      <c r="T43" s="665" t="s">
        <v>14</v>
      </c>
      <c r="U43" s="666">
        <f t="shared" si="13"/>
        <v>95.5</v>
      </c>
      <c r="V43" s="665" t="s">
        <v>14</v>
      </c>
      <c r="W43" s="666">
        <f t="shared" si="14"/>
        <v>95.5</v>
      </c>
      <c r="X43" s="1263"/>
      <c r="Y43" s="3373"/>
      <c r="Z43" s="1262" t="str">
        <f t="shared" si="15"/>
        <v>内部装修</v>
      </c>
      <c r="AA43" s="1262">
        <f t="shared" si="3"/>
        <v>1.0471204188481675</v>
      </c>
      <c r="AB43" s="1262">
        <f t="shared" si="4"/>
        <v>1.0471204188481675</v>
      </c>
      <c r="AC43" s="1810">
        <f t="shared" si="5"/>
        <v>1.0471204188481675</v>
      </c>
    </row>
    <row r="44" spans="1:29" ht="29.4" thickBot="1">
      <c r="A44" s="409"/>
      <c r="B44" s="364" t="s">
        <v>1705</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1</v>
      </c>
      <c r="L44" s="2490"/>
      <c r="M44" s="2485"/>
      <c r="N44" s="2485"/>
      <c r="O44" s="2485"/>
      <c r="P44" s="3371"/>
      <c r="Q44" s="1261" t="str">
        <f t="shared" si="11"/>
        <v>内部装修维护情况</v>
      </c>
      <c r="R44" s="665" t="s">
        <v>14</v>
      </c>
      <c r="S44" s="666">
        <f t="shared" si="12"/>
        <v>100</v>
      </c>
      <c r="T44" s="665" t="s">
        <v>14</v>
      </c>
      <c r="U44" s="666">
        <f t="shared" si="13"/>
        <v>100</v>
      </c>
      <c r="V44" s="665" t="s">
        <v>14</v>
      </c>
      <c r="W44" s="666">
        <f t="shared" si="14"/>
        <v>100</v>
      </c>
      <c r="X44" s="1263"/>
      <c r="Y44" s="3373"/>
      <c r="Z44" s="1262" t="str">
        <f t="shared" si="15"/>
        <v>内部装修维护情况</v>
      </c>
      <c r="AA44" s="1262">
        <f t="shared" si="3"/>
        <v>1</v>
      </c>
      <c r="AB44" s="1262">
        <f t="shared" si="4"/>
        <v>1</v>
      </c>
      <c r="AC44" s="1810">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1"/>
      <c r="Q45" s="530">
        <f t="shared" si="11"/>
        <v>111</v>
      </c>
      <c r="R45" s="662" t="s">
        <v>14</v>
      </c>
      <c r="S45" s="663">
        <f t="shared" si="12"/>
        <v>100</v>
      </c>
      <c r="T45" s="662" t="s">
        <v>14</v>
      </c>
      <c r="U45" s="663">
        <f t="shared" si="13"/>
        <v>100</v>
      </c>
      <c r="V45" s="662" t="s">
        <v>14</v>
      </c>
      <c r="W45" s="663">
        <f t="shared" si="14"/>
        <v>100</v>
      </c>
      <c r="X45" s="664"/>
      <c r="Y45" s="3373"/>
      <c r="Z45" s="50">
        <f t="shared" si="15"/>
        <v>111</v>
      </c>
      <c r="AA45" s="50">
        <f t="shared" si="3"/>
        <v>1</v>
      </c>
      <c r="AB45" s="50">
        <f t="shared" si="4"/>
        <v>1</v>
      </c>
      <c r="AC45" s="800">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1"/>
      <c r="Q46" s="1261">
        <f t="shared" si="11"/>
        <v>111</v>
      </c>
      <c r="R46" s="665" t="s">
        <v>14</v>
      </c>
      <c r="S46" s="666">
        <f t="shared" si="12"/>
        <v>100</v>
      </c>
      <c r="T46" s="665" t="s">
        <v>14</v>
      </c>
      <c r="U46" s="666">
        <f t="shared" si="13"/>
        <v>100</v>
      </c>
      <c r="V46" s="665" t="s">
        <v>14</v>
      </c>
      <c r="W46" s="666">
        <f t="shared" si="14"/>
        <v>100</v>
      </c>
      <c r="X46" s="1263"/>
      <c r="Y46" s="3373"/>
      <c r="Z46" s="1262">
        <f t="shared" si="15"/>
        <v>111</v>
      </c>
      <c r="AA46" s="1262">
        <f t="shared" si="3"/>
        <v>1</v>
      </c>
      <c r="AB46" s="1262">
        <f t="shared" si="4"/>
        <v>1</v>
      </c>
      <c r="AC46" s="1810">
        <f t="shared" si="5"/>
        <v>1</v>
      </c>
    </row>
    <row r="47" spans="1:29" ht="15.6"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2"/>
      <c r="Q47" s="1261">
        <f t="shared" si="11"/>
        <v>111</v>
      </c>
      <c r="R47" s="665" t="s">
        <v>14</v>
      </c>
      <c r="S47" s="666">
        <f t="shared" si="12"/>
        <v>100</v>
      </c>
      <c r="T47" s="665" t="s">
        <v>14</v>
      </c>
      <c r="U47" s="666">
        <f t="shared" si="13"/>
        <v>100</v>
      </c>
      <c r="V47" s="665" t="s">
        <v>14</v>
      </c>
      <c r="W47" s="666">
        <f t="shared" si="14"/>
        <v>100</v>
      </c>
      <c r="X47" s="1263"/>
      <c r="Y47" s="3374"/>
      <c r="Z47" s="1262">
        <f t="shared" si="15"/>
        <v>111</v>
      </c>
      <c r="AA47" s="1262">
        <f t="shared" si="3"/>
        <v>1</v>
      </c>
      <c r="AB47" s="1262">
        <f t="shared" si="4"/>
        <v>1</v>
      </c>
      <c r="AC47" s="1810">
        <f t="shared" si="5"/>
        <v>1</v>
      </c>
    </row>
    <row r="48" spans="1:29" ht="14.4">
      <c r="A48" s="416" t="s">
        <v>1706</v>
      </c>
      <c r="B48" s="417"/>
      <c r="C48" s="1079" t="s">
        <v>0</v>
      </c>
      <c r="D48" s="418"/>
      <c r="E48" s="419">
        <v>28000</v>
      </c>
      <c r="F48" s="420"/>
      <c r="G48" s="421">
        <v>30935</v>
      </c>
      <c r="H48" s="422"/>
      <c r="I48" s="419">
        <v>28300</v>
      </c>
      <c r="J48" s="422"/>
      <c r="K48" s="672"/>
      <c r="L48" s="2492"/>
      <c r="M48" s="2485"/>
      <c r="N48" s="2485"/>
      <c r="O48" s="2485"/>
      <c r="P48" s="3360" t="str">
        <f>A48</f>
        <v>成交单价（元/平方米）</v>
      </c>
      <c r="Q48" s="3361"/>
      <c r="R48" s="3362">
        <f>E48</f>
        <v>28000</v>
      </c>
      <c r="S48" s="3362"/>
      <c r="T48" s="3362">
        <f>G48</f>
        <v>30935</v>
      </c>
      <c r="U48" s="3362"/>
      <c r="V48" s="3362">
        <f>I48</f>
        <v>28300</v>
      </c>
      <c r="W48" s="3362"/>
      <c r="X48" s="385"/>
      <c r="Y48" s="671"/>
      <c r="Z48" s="385"/>
      <c r="AA48" s="385"/>
      <c r="AB48" s="385"/>
      <c r="AC48" s="555"/>
    </row>
    <row r="49" spans="1:29" ht="15" thickBot="1">
      <c r="A49" s="423" t="s">
        <v>1791</v>
      </c>
      <c r="B49" s="424"/>
      <c r="C49" s="1080">
        <f>R50</f>
        <v>26166</v>
      </c>
      <c r="D49" s="2139" t="s">
        <v>2135</v>
      </c>
      <c r="E49" s="1081">
        <f>R49</f>
        <v>25544</v>
      </c>
      <c r="F49" s="2140"/>
      <c r="G49" s="1080">
        <f>T49</f>
        <v>27136</v>
      </c>
      <c r="H49" s="2140"/>
      <c r="I49" s="1081">
        <f>V49</f>
        <v>25817</v>
      </c>
      <c r="J49" s="2140"/>
      <c r="K49" s="2142">
        <f>F49+H49+J49</f>
        <v>0</v>
      </c>
      <c r="L49" s="2492"/>
      <c r="M49" s="2485"/>
      <c r="N49" s="2485"/>
      <c r="O49" s="2485"/>
      <c r="P49" s="3360" t="str">
        <f>A49</f>
        <v>比较价值（元/平方米）</v>
      </c>
      <c r="Q49" s="3361"/>
      <c r="R49" s="3362">
        <f>IF(F1="售价",ROUND(PRODUCT(R48,AA7:AA47),0),ROUND(PRODUCT(R48,AA7:AA47),1))</f>
        <v>25544</v>
      </c>
      <c r="S49" s="3362"/>
      <c r="T49" s="3362">
        <f>IF(F1="售价",ROUND(PRODUCT(T48,AB7:AB47),0),ROUND(PRODUCT(T48,AB7:AB47),1))</f>
        <v>27136</v>
      </c>
      <c r="U49" s="3362"/>
      <c r="V49" s="3362">
        <f>IF(F1="售价",ROUND(PRODUCT(V48,AC7:AC47),0),ROUND(PRODUCT(V48,AC7:AC47),1))</f>
        <v>25817</v>
      </c>
      <c r="W49" s="3362"/>
      <c r="X49" s="385"/>
      <c r="Y49" s="385"/>
      <c r="Z49" s="385"/>
      <c r="AA49" s="385"/>
      <c r="AB49" s="385"/>
      <c r="AC49" s="555"/>
    </row>
    <row r="50" spans="1:29" ht="15" thickBot="1">
      <c r="A50" s="427" t="s">
        <v>1792</v>
      </c>
      <c r="B50" s="428"/>
      <c r="C50" s="351">
        <f>R50</f>
        <v>26166</v>
      </c>
      <c r="D50" s="351"/>
      <c r="E50" s="351"/>
      <c r="F50" s="351"/>
      <c r="G50" s="351"/>
      <c r="H50" s="351"/>
      <c r="I50" s="351"/>
      <c r="J50" s="429"/>
      <c r="K50" s="673"/>
      <c r="L50" s="2492"/>
      <c r="M50" s="2485"/>
      <c r="N50" s="2485"/>
      <c r="O50" s="2485"/>
      <c r="P50" s="3363" t="str">
        <f>A50</f>
        <v>估价对象XX用房的比较价值（楼面单价，元/平方米）</v>
      </c>
      <c r="Q50" s="3364"/>
      <c r="R50" s="3365">
        <f>IF(F1="售价",ROUND(IF(D49="简单平均",AVERAGE(R49:V49),R49*F49+T49*H49+V49*J49),0),ROUND(IF(D49="简单平均",AVERAGE(R49:V49),R49*F49+T49*H49+V49*J49),1))</f>
        <v>26166</v>
      </c>
      <c r="S50" s="3365"/>
      <c r="T50" s="3365"/>
      <c r="U50" s="3365"/>
      <c r="V50" s="3365"/>
      <c r="W50" s="3365"/>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1793</v>
      </c>
      <c r="D53" s="433"/>
      <c r="E53" s="434">
        <f>IF(E48&lt;E49,E49/E48-1,E48/E49-1)</f>
        <v>9.6147823363607943E-2</v>
      </c>
      <c r="F53" s="435" t="str">
        <f>IF(OR(E53&gt;=0.3,E53&lt;=-0.3),"超过30%","")</f>
        <v/>
      </c>
      <c r="G53" s="434">
        <f>IF(G48&lt;G49,G49/G48-1,G48/G49-1)</f>
        <v>0.13999852594339623</v>
      </c>
      <c r="H53" s="435" t="str">
        <f>IF(OR(G53&gt;=0.3,G53&lt;=-0.3),"超过30%","")</f>
        <v/>
      </c>
      <c r="I53" s="434">
        <f>IF(I48&lt;I49,I49/I48-1,I48/I49-1)</f>
        <v>9.617693767672475E-2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1794</v>
      </c>
      <c r="D54" s="436"/>
      <c r="E54" s="434">
        <f>IF(E49&lt;G49,G49/E49-1,E49/G49-1)</f>
        <v>6.2323833385530936E-2</v>
      </c>
      <c r="F54" s="435" t="str">
        <f>IF(OR(E54&gt;=0.2,E54&lt;=-0.2),"超过20%","")</f>
        <v/>
      </c>
      <c r="G54" s="434">
        <f>IF(G49&lt;I49,I49/G49-1,G49/I49-1)</f>
        <v>5.1090366812565291E-2</v>
      </c>
      <c r="H54" s="435" t="str">
        <f>IF(OR(G54&gt;=0.2,G54&lt;=-0.2),"超过20%","")</f>
        <v/>
      </c>
      <c r="I54" s="434">
        <f>IF(I49&lt;E49,E49/I49-1,I49/E49-1)</f>
        <v>1.0687441277795084E-2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1795</v>
      </c>
      <c r="D55" s="436"/>
      <c r="E55" s="434">
        <f>IF(E48&lt;G48,G48/E48-1,E48/G48-1)</f>
        <v>0.10482142857142862</v>
      </c>
      <c r="F55" s="435" t="str">
        <f>IF(OR(E55&gt;=0.3,E55&lt;=-0.3),"超过30%","")</f>
        <v/>
      </c>
      <c r="G55" s="434">
        <f>IF(G48&lt;I48,I48/G48-1,G48/I48-1)</f>
        <v>9.3109540636042487E-2</v>
      </c>
      <c r="H55" s="435" t="str">
        <f>IF(OR(G55&gt;=0.3,G55&lt;=-0.3),"超过30%","")</f>
        <v/>
      </c>
      <c r="I55" s="434">
        <f>IF(I48&lt;E48,E48/I48-1,I48/E48-1)</f>
        <v>1.0714285714285676E-2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6" t="s">
        <v>1796</v>
      </c>
      <c r="B58" s="385"/>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2" customFormat="1" ht="14.4">
      <c r="A59" s="440" t="s">
        <v>1677</v>
      </c>
      <c r="B59" s="441"/>
      <c r="C59" s="1101" t="str">
        <f>YEAR(C7)&amp;"-"&amp;MONTH(C7)</f>
        <v>2025-4</v>
      </c>
      <c r="D59" s="1102">
        <f>EDATE(C59,-1)</f>
        <v>45717</v>
      </c>
      <c r="E59" s="1102">
        <f>EDATE(D59,-1)</f>
        <v>45689</v>
      </c>
      <c r="F59" s="1102">
        <f t="shared" ref="F59:O59" si="16">EDATE(E59,-1)</f>
        <v>45658</v>
      </c>
      <c r="G59" s="1102">
        <f t="shared" si="16"/>
        <v>45627</v>
      </c>
      <c r="H59" s="1102">
        <f t="shared" si="16"/>
        <v>45597</v>
      </c>
      <c r="I59" s="1102">
        <f t="shared" si="16"/>
        <v>45566</v>
      </c>
      <c r="J59" s="1102">
        <f t="shared" si="16"/>
        <v>45536</v>
      </c>
      <c r="K59" s="1102">
        <f t="shared" si="16"/>
        <v>45505</v>
      </c>
      <c r="L59" s="1102">
        <f t="shared" si="16"/>
        <v>45474</v>
      </c>
      <c r="M59" s="1102">
        <f t="shared" si="16"/>
        <v>45444</v>
      </c>
      <c r="N59" s="1102">
        <f t="shared" si="16"/>
        <v>45413</v>
      </c>
      <c r="O59" s="1102">
        <f t="shared" si="16"/>
        <v>45383</v>
      </c>
      <c r="P59" s="3170">
        <v>45047</v>
      </c>
      <c r="Q59" s="3170">
        <v>44986</v>
      </c>
      <c r="R59" s="2508"/>
      <c r="S59" s="2508"/>
      <c r="T59" s="2508"/>
      <c r="U59" s="2508"/>
      <c r="V59" s="2508"/>
      <c r="W59" s="2508"/>
      <c r="X59" s="2508"/>
      <c r="Y59" s="2508"/>
      <c r="Z59" s="2508"/>
      <c r="AA59" s="2508"/>
      <c r="AB59" s="2508"/>
      <c r="AC59" s="2508"/>
    </row>
    <row r="60" spans="1:29" s="102" customFormat="1">
      <c r="A60" s="443"/>
      <c r="B60" s="444"/>
      <c r="C60" s="1100">
        <v>100</v>
      </c>
      <c r="D60" s="446"/>
      <c r="E60" s="446"/>
      <c r="F60" s="446"/>
      <c r="G60" s="446"/>
      <c r="H60" s="446"/>
      <c r="I60" s="446"/>
      <c r="J60" s="446"/>
      <c r="K60" s="446"/>
      <c r="L60" s="446"/>
      <c r="M60" s="447"/>
      <c r="N60" s="446"/>
      <c r="O60" s="447"/>
      <c r="P60" s="1100">
        <v>102</v>
      </c>
      <c r="Q60" s="1100">
        <v>102</v>
      </c>
      <c r="R60" s="2438"/>
      <c r="S60" s="2438"/>
      <c r="T60" s="2438"/>
      <c r="U60" s="2438"/>
      <c r="V60" s="2438"/>
      <c r="W60" s="2438"/>
      <c r="X60" s="2438"/>
      <c r="Y60" s="2438"/>
      <c r="Z60" s="2438"/>
      <c r="AA60" s="2438"/>
      <c r="AB60" s="2438"/>
      <c r="AC60" s="2438"/>
    </row>
    <row r="61" spans="1:29" s="102" customFormat="1" ht="15" thickBot="1">
      <c r="A61" s="449" t="s">
        <v>1714</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1679</v>
      </c>
      <c r="B62" s="444"/>
      <c r="C62" s="456" t="s">
        <v>1774</v>
      </c>
      <c r="D62" s="3169" t="s">
        <v>3491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1717</v>
      </c>
      <c r="B64" s="460" t="s">
        <v>1683</v>
      </c>
      <c r="C64" s="461" t="str">
        <f>C9</f>
        <v>研发</v>
      </c>
      <c r="D64" s="3168" t="s">
        <v>3489</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1686</v>
      </c>
      <c r="C66" s="513" t="s">
        <v>3494</v>
      </c>
      <c r="D66" s="513" t="s">
        <v>3495</v>
      </c>
      <c r="E66" s="513" t="s">
        <v>3496</v>
      </c>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v>100</v>
      </c>
      <c r="D67" s="467">
        <v>101</v>
      </c>
      <c r="E67" s="467">
        <v>102</v>
      </c>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1688</v>
      </c>
      <c r="B77" s="460" t="s">
        <v>1819</v>
      </c>
      <c r="C77" s="504" t="s">
        <v>1719</v>
      </c>
      <c r="D77" s="504" t="s">
        <v>1720</v>
      </c>
      <c r="E77" s="504" t="s">
        <v>1721</v>
      </c>
      <c r="F77" s="504" t="s">
        <v>1722</v>
      </c>
      <c r="G77" s="504" t="s">
        <v>1723</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98</v>
      </c>
      <c r="E78" s="475">
        <f>D78-$K15</f>
        <v>96</v>
      </c>
      <c r="F78" s="475">
        <f>E78-$K15</f>
        <v>94</v>
      </c>
      <c r="G78" s="475">
        <f>F78-$K15</f>
        <v>92</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1724</v>
      </c>
      <c r="C79" s="509" t="s">
        <v>1719</v>
      </c>
      <c r="D79" s="509" t="s">
        <v>1720</v>
      </c>
      <c r="E79" s="509" t="s">
        <v>1721</v>
      </c>
      <c r="F79" s="509" t="s">
        <v>1722</v>
      </c>
      <c r="G79" s="509" t="s">
        <v>1723</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1725</v>
      </c>
      <c r="C81" s="509" t="s">
        <v>1719</v>
      </c>
      <c r="D81" s="509" t="s">
        <v>1720</v>
      </c>
      <c r="E81" s="509" t="s">
        <v>1721</v>
      </c>
      <c r="F81" s="509" t="s">
        <v>1722</v>
      </c>
      <c r="G81" s="509" t="s">
        <v>1723</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96</v>
      </c>
      <c r="E82" s="475">
        <f>D82-$K19</f>
        <v>92</v>
      </c>
      <c r="F82" s="475">
        <f>E82-$K19</f>
        <v>88</v>
      </c>
      <c r="G82" s="475">
        <f>F82-$K19</f>
        <v>84</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1811</v>
      </c>
      <c r="C83" s="581" t="s">
        <v>1797</v>
      </c>
      <c r="D83" s="581" t="s">
        <v>1798</v>
      </c>
      <c r="E83" s="581" t="s">
        <v>1799</v>
      </c>
      <c r="F83" s="581" t="s">
        <v>1800</v>
      </c>
      <c r="G83" s="581" t="s">
        <v>1801</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1820</v>
      </c>
      <c r="C85" s="509" t="s">
        <v>1719</v>
      </c>
      <c r="D85" s="509" t="s">
        <v>1720</v>
      </c>
      <c r="E85" s="509" t="s">
        <v>1721</v>
      </c>
      <c r="F85" s="509" t="s">
        <v>1722</v>
      </c>
      <c r="G85" s="509" t="s">
        <v>1723</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1821</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1" t="s">
        <v>3501</v>
      </c>
      <c r="D89" s="3171" t="s">
        <v>3503</v>
      </c>
      <c r="E89" s="485"/>
      <c r="F89" s="1778"/>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1692</v>
      </c>
      <c r="B101" s="460" t="s">
        <v>1734</v>
      </c>
      <c r="C101" s="3168" t="s">
        <v>3505</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1735</v>
      </c>
      <c r="C103" s="509" t="str">
        <f>C104&amp;"(含)"&amp;"-"&amp;D104</f>
        <v>0(含)-2000</v>
      </c>
      <c r="D103" s="509" t="str">
        <f t="shared" ref="D103:L103" si="23">D104&amp;"(含)"&amp;"-"&amp;E104</f>
        <v>2000(含)-6000</v>
      </c>
      <c r="E103" s="509" t="str">
        <f t="shared" si="23"/>
        <v>6000(含)-10000</v>
      </c>
      <c r="F103" s="509" t="str">
        <f t="shared" si="23"/>
        <v>10000(含)-15000</v>
      </c>
      <c r="G103" s="509" t="str">
        <f t="shared" si="23"/>
        <v>15000(含)-20000</v>
      </c>
      <c r="H103" s="509" t="str">
        <f t="shared" si="23"/>
        <v>20000(含)-30000</v>
      </c>
      <c r="I103" s="509" t="str">
        <f t="shared" si="23"/>
        <v>30000(含)-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v>
      </c>
      <c r="E104" s="6">
        <v>6000</v>
      </c>
      <c r="F104" s="6">
        <v>10000</v>
      </c>
      <c r="G104" s="6">
        <v>15000</v>
      </c>
      <c r="H104" s="6">
        <v>20000</v>
      </c>
      <c r="I104" s="6">
        <v>30000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v>99</v>
      </c>
      <c r="E105" s="467">
        <v>98</v>
      </c>
      <c r="F105" s="467">
        <v>97</v>
      </c>
      <c r="G105" s="467">
        <v>96</v>
      </c>
      <c r="H105" s="467">
        <v>95</v>
      </c>
      <c r="I105" s="467">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1736</v>
      </c>
      <c r="C106" s="3171" t="s">
        <v>3506</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1738</v>
      </c>
      <c r="C108" s="3171" t="s">
        <v>3508</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1822</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1739</v>
      </c>
      <c r="C115" s="3171" t="s">
        <v>3510</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1740</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1823</v>
      </c>
      <c r="C119" s="3172" t="s">
        <v>3512</v>
      </c>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1806</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1742</v>
      </c>
      <c r="C123" s="3171" t="s">
        <v>3508</v>
      </c>
      <c r="D123" s="3171" t="s">
        <v>3513</v>
      </c>
      <c r="E123" s="3171" t="s">
        <v>3514</v>
      </c>
      <c r="F123" s="3172" t="s">
        <v>3516</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98.5</v>
      </c>
      <c r="E124" s="475">
        <f t="shared" si="30"/>
        <v>97</v>
      </c>
      <c r="F124" s="475">
        <f t="shared" si="30"/>
        <v>95.5</v>
      </c>
      <c r="G124" s="475">
        <f t="shared" si="30"/>
        <v>94</v>
      </c>
      <c r="H124" s="475">
        <f t="shared" si="30"/>
        <v>92.5</v>
      </c>
      <c r="I124" s="475">
        <f t="shared" si="30"/>
        <v>91</v>
      </c>
      <c r="J124" s="475">
        <f t="shared" si="30"/>
        <v>89.5</v>
      </c>
      <c r="K124" s="475">
        <f t="shared" si="30"/>
        <v>88</v>
      </c>
      <c r="L124" s="475">
        <f t="shared" si="30"/>
        <v>86.5</v>
      </c>
      <c r="M124" s="476">
        <f t="shared" si="30"/>
        <v>85</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J34" sqref="J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1"/>
      <c r="C1" s="1285" t="s">
        <v>3418</v>
      </c>
      <c r="D1" s="1269" t="s">
        <v>43</v>
      </c>
      <c r="E1" s="1270" t="s">
        <v>676</v>
      </c>
      <c r="F1" s="997">
        <f ca="1">J53</f>
        <v>25.6</v>
      </c>
      <c r="G1" s="1284">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802</v>
      </c>
      <c r="B2" s="1292">
        <f ca="1">C40+J29+L46</f>
        <v>21997</v>
      </c>
      <c r="C2" s="1287" t="s">
        <v>803</v>
      </c>
      <c r="D2" s="1287"/>
      <c r="E2" s="1293"/>
      <c r="F2" s="1294"/>
      <c r="G2" s="2476"/>
      <c r="H2" s="2466"/>
      <c r="I2" s="2466"/>
      <c r="J2" s="2466"/>
      <c r="K2" s="2467"/>
      <c r="L2" s="2466"/>
      <c r="M2" s="2466"/>
    </row>
    <row r="3" spans="1:37" ht="18" customHeight="1" thickBot="1">
      <c r="A3" s="1295" t="s">
        <v>804</v>
      </c>
      <c r="B3" s="1296">
        <f ca="1">IF(ISERROR(B2*10000/F43),0,ROUND(B2*10000/F43,0))</f>
        <v>19148</v>
      </c>
      <c r="C3" s="1287" t="s">
        <v>805</v>
      </c>
      <c r="D3" s="1287"/>
      <c r="E3" s="1293"/>
      <c r="F3" s="1294"/>
      <c r="G3" s="2476"/>
      <c r="H3" s="647"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f ca="1">C6+C10+C12</f>
        <v>1512</v>
      </c>
      <c r="D5" s="1271" t="s">
        <v>691</v>
      </c>
      <c r="E5" s="1006"/>
      <c r="F5" s="1007"/>
      <c r="G5" s="1290"/>
      <c r="H5" s="291">
        <v>1</v>
      </c>
      <c r="I5" s="292" t="s">
        <v>690</v>
      </c>
      <c r="J5" s="1005">
        <f ca="1">J6+J10+J12</f>
        <v>0</v>
      </c>
      <c r="K5" s="1271" t="s">
        <v>691</v>
      </c>
      <c r="L5" s="1006"/>
      <c r="M5" s="1007"/>
    </row>
    <row r="6" spans="1:37" ht="18" customHeight="1">
      <c r="A6" s="1004" t="s">
        <v>398</v>
      </c>
      <c r="B6" s="3413" t="s">
        <v>692</v>
      </c>
      <c r="C6" s="1009">
        <f ca="1">ROUND(F6*F8*F7*(1-F9)/10000,0)</f>
        <v>1510</v>
      </c>
      <c r="D6" s="147" t="s">
        <v>2106</v>
      </c>
      <c r="E6" s="294" t="s">
        <v>694</v>
      </c>
      <c r="F6" s="295">
        <f ca="1">INDIRECT("'数据-取费表'!u"&amp;$G$1)</f>
        <v>4</v>
      </c>
      <c r="G6" s="1290"/>
      <c r="H6" s="1004" t="s">
        <v>398</v>
      </c>
      <c r="I6" s="3413" t="s">
        <v>692</v>
      </c>
      <c r="J6" s="293">
        <f ca="1">ROUND(M6*M8*M7*(1-M9)/10000,0)</f>
        <v>0</v>
      </c>
      <c r="K6" s="147" t="s">
        <v>2105</v>
      </c>
      <c r="L6" s="294" t="s">
        <v>694</v>
      </c>
      <c r="M6" s="295">
        <f ca="1">INDIRECT("'数据-取费表'!z"&amp;$G$1)</f>
        <v>0</v>
      </c>
    </row>
    <row r="7" spans="1:37" ht="18" customHeight="1">
      <c r="A7" s="1008"/>
      <c r="B7" s="3414"/>
      <c r="C7" s="1010"/>
      <c r="D7" s="299"/>
      <c r="E7" s="1011" t="s">
        <v>695</v>
      </c>
      <c r="F7" s="295">
        <f ca="1">IF(INDIRECT("'数据-取费表'!ah"&amp;$G$1)="",INDIRECT("'数据-取费表'!k"&amp;$G$1),INDIRECT("'数据-取费表'!ah"&amp;$G$1))</f>
        <v>11487.92</v>
      </c>
      <c r="G7" s="1290"/>
      <c r="H7" s="296"/>
      <c r="I7" s="3414"/>
      <c r="J7" s="298"/>
      <c r="K7" s="299"/>
      <c r="L7" s="294" t="s">
        <v>695</v>
      </c>
      <c r="M7" s="295">
        <f ca="1">F7</f>
        <v>11487.92</v>
      </c>
    </row>
    <row r="8" spans="1:37" ht="18" customHeight="1">
      <c r="A8" s="296"/>
      <c r="B8" s="3414"/>
      <c r="C8" s="298"/>
      <c r="D8" s="299"/>
      <c r="E8" s="294" t="s">
        <v>696</v>
      </c>
      <c r="F8" s="295">
        <f ca="1">INDIRECT("'数据-取费表'!ai"&amp;$G$1)</f>
        <v>365</v>
      </c>
      <c r="G8" s="1290"/>
      <c r="H8" s="296"/>
      <c r="I8" s="3414"/>
      <c r="J8" s="298"/>
      <c r="K8" s="299"/>
      <c r="L8" s="294" t="s">
        <v>696</v>
      </c>
      <c r="M8" s="295">
        <f ca="1">INDIRECT("'数据-取费表'!ai"&amp;$G$1)</f>
        <v>365</v>
      </c>
    </row>
    <row r="9" spans="1:37" ht="18" customHeight="1">
      <c r="A9" s="296"/>
      <c r="B9" s="3415"/>
      <c r="C9" s="298"/>
      <c r="D9" s="299"/>
      <c r="E9" s="294" t="s">
        <v>697</v>
      </c>
      <c r="F9" s="304">
        <f ca="1">INDIRECT("'数据-取费表'!w"&amp;$G$1)</f>
        <v>0.1</v>
      </c>
      <c r="G9" s="1290"/>
      <c r="H9" s="296"/>
      <c r="I9" s="3415"/>
      <c r="J9" s="298"/>
      <c r="K9" s="299"/>
      <c r="L9" s="305" t="s">
        <v>697</v>
      </c>
      <c r="M9" s="306">
        <f ca="1">INDIRECT("'数据-取费表'!ab"&amp;$G$1)</f>
        <v>0</v>
      </c>
    </row>
    <row r="10" spans="1:37" ht="18" customHeight="1">
      <c r="A10" s="1004" t="s">
        <v>402</v>
      </c>
      <c r="B10" s="1272" t="s">
        <v>698</v>
      </c>
      <c r="C10" s="308">
        <f ca="1">ROUND(IF(F10="押一",C6/12*F11,IF(F10="押二",C6/12*2*F11,IF(F10="押三",C6/12*3*F11,C11*F11))),0)</f>
        <v>2</v>
      </c>
      <c r="D10" s="150" t="s">
        <v>2114</v>
      </c>
      <c r="E10" s="305" t="s">
        <v>699</v>
      </c>
      <c r="F10" s="1051" t="s">
        <v>3425</v>
      </c>
      <c r="G10" s="1290"/>
      <c r="H10" s="1004" t="s">
        <v>402</v>
      </c>
      <c r="I10" s="1272" t="s">
        <v>698</v>
      </c>
      <c r="J10" s="293">
        <f ca="1">ROUND(IF(M10="押一",J6/12*M11,IF(M10="押二",J6/12*2*M11,IF(M10="押三",J6/12*3*M11,J11*M11))),0)</f>
        <v>0</v>
      </c>
      <c r="K10" s="150" t="s">
        <v>2113</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8284</v>
      </c>
      <c r="D13" s="1016" t="s">
        <v>703</v>
      </c>
      <c r="E13" s="1016" t="s">
        <v>704</v>
      </c>
      <c r="F13" s="1017">
        <f ca="1">INDIRECT("'数据-取费表'!y"&amp;$G$1)</f>
        <v>0.85</v>
      </c>
      <c r="G13" s="1290"/>
      <c r="H13" s="1014">
        <v>2</v>
      </c>
      <c r="I13" s="1015" t="s">
        <v>702</v>
      </c>
      <c r="J13" s="1003">
        <f ca="1">ROUND(J14*J15,0)</f>
        <v>0</v>
      </c>
      <c r="K13" s="1022" t="s">
        <v>703</v>
      </c>
      <c r="L13" s="1297"/>
      <c r="M13" s="1298"/>
    </row>
    <row r="14" spans="1:37" ht="18" customHeight="1">
      <c r="A14" s="926" t="s">
        <v>397</v>
      </c>
      <c r="B14" s="294" t="s">
        <v>705</v>
      </c>
      <c r="C14" s="310">
        <f ca="1">INDIRECT("'数据-取费表'!m"&amp;$G$1)+INDIRECT("'数据-取费表'!t"&amp;$G$1)</f>
        <v>6893</v>
      </c>
      <c r="D14" s="1255" t="s">
        <v>706</v>
      </c>
      <c r="E14" s="1253"/>
      <c r="F14" s="311"/>
      <c r="G14" s="1290"/>
      <c r="H14" s="926" t="s">
        <v>398</v>
      </c>
      <c r="I14" s="294" t="s">
        <v>707</v>
      </c>
      <c r="J14" s="21">
        <f ca="1">C29</f>
        <v>9746</v>
      </c>
      <c r="K14" s="12"/>
      <c r="L14" s="757"/>
      <c r="M14" s="758"/>
    </row>
    <row r="15" spans="1:37" s="1302" customFormat="1" ht="18" customHeight="1" thickBot="1">
      <c r="A15" s="926" t="s">
        <v>399</v>
      </c>
      <c r="B15" s="294" t="s">
        <v>708</v>
      </c>
      <c r="C15" s="21">
        <f ca="1">ROUND(C14*F15,0)</f>
        <v>345</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ROUND(INDIRECT("'数据-取费表'!m"&amp;$G$1)*F16,0)</f>
        <v>0</v>
      </c>
      <c r="D16" s="294" t="s">
        <v>709</v>
      </c>
      <c r="E16" s="294" t="s">
        <v>710</v>
      </c>
      <c r="F16" s="314">
        <f ca="1">IF(INDIRECT("'数据-取费表'!c"&amp;$G$1)="住宅",'数据-取费表'!B34,0)</f>
        <v>0</v>
      </c>
      <c r="G16" s="1290"/>
      <c r="H16" s="1014" t="s">
        <v>393</v>
      </c>
      <c r="I16" s="1015" t="s">
        <v>712</v>
      </c>
      <c r="J16" s="302">
        <f ca="1">ROUND(J17+J22+J23+J24,0)</f>
        <v>20</v>
      </c>
      <c r="K16" s="1022" t="s">
        <v>713</v>
      </c>
      <c r="L16" s="1023"/>
      <c r="M16" s="1007"/>
    </row>
    <row r="17" spans="1:37" s="1302" customFormat="1" ht="18" customHeight="1">
      <c r="A17" s="926" t="s">
        <v>679</v>
      </c>
      <c r="B17" s="294" t="s">
        <v>714</v>
      </c>
      <c r="C17" s="21">
        <f ca="1">ROUND(F17*(F43+INDIRECT("'数据-取费表'!S"&amp;$G$1))/10000,0)</f>
        <v>230</v>
      </c>
      <c r="D17" s="294" t="s">
        <v>715</v>
      </c>
      <c r="E17" s="294" t="s">
        <v>716</v>
      </c>
      <c r="F17" s="23">
        <f>'数据-取费表'!B35</f>
        <v>200</v>
      </c>
      <c r="G17" s="1301"/>
      <c r="H17" s="926" t="s">
        <v>398</v>
      </c>
      <c r="I17" s="294" t="s">
        <v>717</v>
      </c>
      <c r="J17" s="2138">
        <f ca="1">ROUND(IF(AND(项目基本情况!B11="自然人",项目基本情况!B10="北京市"),J6*M17/(1+'数据-取费表'!C42),J18+J19+J20),2)</f>
        <v>0.81</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207</v>
      </c>
      <c r="D18" s="294" t="s">
        <v>709</v>
      </c>
      <c r="E18" s="294" t="s">
        <v>710</v>
      </c>
      <c r="F18" s="314">
        <f>'数据-取费表'!B36</f>
        <v>0.03</v>
      </c>
      <c r="G18" s="1301"/>
      <c r="H18" s="926" t="s">
        <v>397</v>
      </c>
      <c r="I18" s="294" t="s">
        <v>721</v>
      </c>
      <c r="J18" s="21">
        <f ca="1">ROUND(J6*M18/(1+'数据-取费表'!C42),2)</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7675</v>
      </c>
      <c r="D19" s="123" t="s">
        <v>724</v>
      </c>
      <c r="E19" s="1267"/>
      <c r="F19" s="23"/>
      <c r="G19" s="1290"/>
      <c r="H19" s="926" t="s">
        <v>399</v>
      </c>
      <c r="I19" s="294" t="s">
        <v>725</v>
      </c>
      <c r="J19" s="21">
        <f ca="1">IF(K19="按租金收入计税",ROUND(J6*M19/(1+'数据-取费表'!C42),2),ROUND(C29*M19*0.7,2))</f>
        <v>0</v>
      </c>
      <c r="K19" s="1276" t="s">
        <v>3333</v>
      </c>
      <c r="L19" s="294" t="s">
        <v>710</v>
      </c>
      <c r="M19" s="314">
        <f>IF(K19="按租金收入计税",'数据-取费表'!B51,'数据-取费表'!B50)</f>
        <v>0.12</v>
      </c>
    </row>
    <row r="20" spans="1:37" s="1302" customFormat="1" ht="18" customHeight="1">
      <c r="A20" s="926" t="s">
        <v>402</v>
      </c>
      <c r="B20" s="294" t="s">
        <v>726</v>
      </c>
      <c r="C20" s="21">
        <f ca="1">ROUND(C19*F20,0)</f>
        <v>154</v>
      </c>
      <c r="D20" s="315" t="s">
        <v>727</v>
      </c>
      <c r="E20" s="294" t="s">
        <v>710</v>
      </c>
      <c r="F20" s="314">
        <f>'数据-取费表'!B37</f>
        <v>0.02</v>
      </c>
      <c r="G20" s="1301"/>
      <c r="H20" s="926" t="s">
        <v>678</v>
      </c>
      <c r="I20" s="147" t="s">
        <v>728</v>
      </c>
      <c r="J20" s="22">
        <f ca="1">ROUND(M20*M21/10000,2)</f>
        <v>0.81</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0.02</v>
      </c>
      <c r="G21" s="1301"/>
      <c r="H21" s="318"/>
      <c r="I21" s="303"/>
      <c r="J21" s="26"/>
      <c r="K21" s="319"/>
      <c r="L21" s="294" t="s">
        <v>734</v>
      </c>
      <c r="M21" s="295">
        <f ca="1">INDIRECT("'数据-取费表'!r"&amp;$G$1)</f>
        <v>5422.86</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ROUND(J14*M22,2)</f>
        <v>19.489999999999998</v>
      </c>
      <c r="K22" s="1254" t="s">
        <v>737</v>
      </c>
      <c r="L22" s="294" t="s">
        <v>710</v>
      </c>
      <c r="M22" s="320">
        <f ca="1">INDIRECT("'数据-取费表'!Ak"&amp;$G$1)</f>
        <v>2E-3</v>
      </c>
    </row>
    <row r="23" spans="1:37" s="1302" customFormat="1" ht="18" customHeight="1">
      <c r="A23" s="926" t="s">
        <v>397</v>
      </c>
      <c r="B23" s="294" t="s">
        <v>738</v>
      </c>
      <c r="C23" s="21">
        <f ca="1">IF('数据-取费表'!B22&lt;=1,ROUND(C19*F24*F23/2,0)+ROUND(C20*F24*F23/2,0),ROUND(C19*(POWER((1+F24),F23/2)-1),0)+ROUND(C20*(POWER((1+F24),F23/2)-1),0))</f>
        <v>243</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ROUND(J13*M23,2)</f>
        <v>0</v>
      </c>
      <c r="K23" s="1254" t="s">
        <v>741</v>
      </c>
      <c r="L23" s="294" t="s">
        <v>742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ROUND(J5*M24,2)</f>
        <v>0</v>
      </c>
      <c r="K24" s="1027" t="s">
        <v>746</v>
      </c>
      <c r="L24" s="1025" t="s">
        <v>742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f ca="1">J5-J16</f>
        <v>-20</v>
      </c>
      <c r="K25" s="1030" t="s">
        <v>751</v>
      </c>
      <c r="L25" s="1031"/>
      <c r="M25" s="1032"/>
    </row>
    <row r="26" spans="1:37">
      <c r="A26" s="926" t="s">
        <v>397</v>
      </c>
      <c r="B26" s="294" t="s">
        <v>752</v>
      </c>
      <c r="C26" s="21">
        <f ca="1">ROUND((C19+C20)*F26,0)</f>
        <v>939</v>
      </c>
      <c r="D26" s="315" t="s">
        <v>753</v>
      </c>
      <c r="E26" s="305" t="s">
        <v>754</v>
      </c>
      <c r="F26" s="304">
        <f ca="1">INDIRECT("'数据-取费表'!q"&amp;$G$1)</f>
        <v>0.12</v>
      </c>
      <c r="G26" s="1290"/>
      <c r="H26" s="291" t="s">
        <v>395</v>
      </c>
      <c r="I26" s="292" t="s">
        <v>755</v>
      </c>
      <c r="J26" s="293">
        <f ca="1">IF(J5&lt;&gt;0,ROUND(J25*(1-((1+M28)/(1+M26))^M27)/(M26-M28),0),0)</f>
        <v>0</v>
      </c>
      <c r="K26" s="316" t="s">
        <v>756</v>
      </c>
      <c r="L26" s="294" t="s">
        <v>757</v>
      </c>
      <c r="M26" s="304">
        <f ca="1">INDIRECT("'数据-取费表'!I"&amp;$G$1)</f>
        <v>0.05</v>
      </c>
    </row>
    <row r="27" spans="1:37" ht="18" customHeight="1">
      <c r="A27" s="926" t="s">
        <v>399</v>
      </c>
      <c r="B27" s="294" t="s">
        <v>758</v>
      </c>
      <c r="C27" s="21">
        <f ca="1">ROUND(F21*F26,4)</f>
        <v>2.3999999999999998E-3</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9746</v>
      </c>
      <c r="D29" s="1027"/>
      <c r="E29" s="1025"/>
      <c r="F29" s="1028"/>
      <c r="G29" s="1301"/>
      <c r="H29" s="325" t="s">
        <v>396</v>
      </c>
      <c r="I29" s="326" t="s">
        <v>766</v>
      </c>
      <c r="J29" s="327">
        <f ca="1">ROUND(J26/(1+F40)^F41,0)</f>
        <v>0</v>
      </c>
      <c r="K29" s="328" t="s">
        <v>767</v>
      </c>
      <c r="L29" s="329"/>
      <c r="M29" s="330">
        <f ca="1">INDIRECT("'数据-取费表'!k"&amp;$G$1)</f>
        <v>11487.92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288</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ROUND(IF(AND(项目基本情况!B11="自然人",项目基本情况!B10="北京市"),C6*F31/(1+'数据-取费表'!C42),C32+C33+C34),2)</f>
        <v>252.48</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IF(项目基本情况!B11="自然人","——",ROUND(C6*F32/(1+'数据-取费表'!C42),2))</f>
        <v>79.099999999999994</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IF(项目基本情况!B11="自然人","——",IF(D33="按租金收入计税",ROUND(C6*F33/(1+'数据-取费表'!C42),2),IF(D33="按房产原值计税",ROUND(C29*F33*0.7,2),INDIRECT("'数据-取费表'!Aj"&amp;$G$1))))</f>
        <v>172.57</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IF(项目基本情况!B11="自然人","——",ROUND(F34*F35/10000,2))</f>
        <v>0.81</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5422.86</v>
      </c>
      <c r="G35" s="1290"/>
      <c r="H35" s="2468"/>
      <c r="I35" s="1303"/>
      <c r="J35" s="1304"/>
      <c r="K35" s="2472"/>
      <c r="L35" s="2471"/>
      <c r="M35" s="2471"/>
    </row>
    <row r="36" spans="1:18" ht="18" customHeight="1">
      <c r="A36" s="1037" t="s">
        <v>402</v>
      </c>
      <c r="B36" s="294" t="s">
        <v>736</v>
      </c>
      <c r="C36" s="21">
        <f ca="1">ROUND(C29*F36,2)</f>
        <v>19.489999999999998</v>
      </c>
      <c r="D36" s="1254" t="s">
        <v>769</v>
      </c>
      <c r="E36" s="294" t="s">
        <v>710</v>
      </c>
      <c r="F36" s="320">
        <f ca="1">INDIRECT("'数据-取费表'!Ak"&amp;$G$1)</f>
        <v>2E-3</v>
      </c>
      <c r="G36" s="1290"/>
      <c r="H36" s="2471"/>
      <c r="I36" s="1303"/>
      <c r="J36" s="1304"/>
      <c r="K36" s="2329"/>
      <c r="L36" s="2471"/>
      <c r="M36" s="2471"/>
    </row>
    <row r="37" spans="1:18" ht="18" customHeight="1">
      <c r="A37" s="926" t="s">
        <v>437</v>
      </c>
      <c r="B37" s="294" t="s">
        <v>740</v>
      </c>
      <c r="C37" s="21">
        <f ca="1">ROUND(C13*F37,2)</f>
        <v>8.2799999999999994</v>
      </c>
      <c r="D37" s="1254" t="s">
        <v>741</v>
      </c>
      <c r="E37" s="294" t="s">
        <v>742</v>
      </c>
      <c r="F37" s="321">
        <f ca="1">INDIRECT("'数据-取费表'!Al"&amp;$G$1)</f>
        <v>1E-3</v>
      </c>
      <c r="G37" s="1290"/>
      <c r="H37" s="2471"/>
      <c r="I37" s="1303"/>
      <c r="J37" s="1304"/>
      <c r="K37" s="2329"/>
      <c r="L37" s="2471"/>
      <c r="M37" s="2471"/>
    </row>
    <row r="38" spans="1:18" ht="18" customHeight="1" thickBot="1">
      <c r="A38" s="1024" t="s">
        <v>682</v>
      </c>
      <c r="B38" s="1025" t="s">
        <v>726</v>
      </c>
      <c r="C38" s="1026">
        <f ca="1">ROUND(C5*F38,2)</f>
        <v>7.56</v>
      </c>
      <c r="D38" s="1027" t="s">
        <v>746</v>
      </c>
      <c r="E38" s="1025" t="s">
        <v>742</v>
      </c>
      <c r="F38" s="1021">
        <f ca="1">INDIRECT("'数据-取费表'!Am"&amp;$G$1)</f>
        <v>5.0000000000000001E-3</v>
      </c>
      <c r="G38" s="1290"/>
      <c r="H38" s="2471"/>
      <c r="I38" s="1303"/>
      <c r="J38" s="1304"/>
      <c r="K38" s="2469"/>
      <c r="L38" s="2471"/>
      <c r="M38" s="2471"/>
    </row>
    <row r="39" spans="1:18" ht="24.6" customHeight="1" thickTop="1">
      <c r="A39" s="1014" t="s">
        <v>394</v>
      </c>
      <c r="B39" s="1029" t="s">
        <v>770</v>
      </c>
      <c r="C39" s="302">
        <f ca="1">C5-C30</f>
        <v>1224</v>
      </c>
      <c r="D39" s="1030" t="s">
        <v>771</v>
      </c>
      <c r="E39" s="1031"/>
      <c r="F39" s="1032"/>
      <c r="G39" s="1290"/>
      <c r="H39" s="2471"/>
      <c r="I39" s="1303"/>
      <c r="J39" s="1304"/>
      <c r="K39" s="2469"/>
      <c r="L39" s="2471"/>
      <c r="M39" s="2471"/>
    </row>
    <row r="40" spans="1:18" ht="18" customHeight="1">
      <c r="A40" s="291" t="s">
        <v>395</v>
      </c>
      <c r="B40" s="292" t="s">
        <v>772</v>
      </c>
      <c r="C40" s="293">
        <f ca="1">ROUND(C39*(1-((1+F42)/(1+F40))^F41)/(F40-F42),0)</f>
        <v>21374</v>
      </c>
      <c r="D40" s="316" t="s">
        <v>756</v>
      </c>
      <c r="E40" s="294" t="s">
        <v>757</v>
      </c>
      <c r="F40" s="304">
        <f ca="1">INDIRECT("'数据-取费表'!I"&amp;$G$1)</f>
        <v>0.05</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25.6</v>
      </c>
      <c r="G41" s="1290"/>
      <c r="H41" s="121"/>
      <c r="I41" s="1303"/>
      <c r="J41" s="1304"/>
      <c r="K41" s="2329"/>
      <c r="L41" s="121"/>
      <c r="M41" s="121"/>
    </row>
    <row r="42" spans="1:18" ht="18" customHeight="1">
      <c r="A42" s="300"/>
      <c r="B42" s="301"/>
      <c r="C42" s="302"/>
      <c r="D42" s="319"/>
      <c r="E42" s="294" t="s">
        <v>764</v>
      </c>
      <c r="F42" s="304">
        <f ca="1">INDIRECT("'数据-取费表'!v"&amp;$G$1)</f>
        <v>0.02</v>
      </c>
      <c r="G42" s="1290"/>
      <c r="H42" s="121"/>
      <c r="I42" s="1303"/>
      <c r="J42" s="1304"/>
      <c r="K42" s="2329"/>
      <c r="L42" s="121"/>
      <c r="M42" s="121"/>
    </row>
    <row r="43" spans="1:18" ht="18" customHeight="1" thickBot="1">
      <c r="A43" s="325" t="s">
        <v>396</v>
      </c>
      <c r="B43" s="326" t="s">
        <v>774</v>
      </c>
      <c r="C43" s="327">
        <f ca="1">ROUND(C40*10000/F43,0)</f>
        <v>18606</v>
      </c>
      <c r="D43" s="328" t="s">
        <v>775</v>
      </c>
      <c r="E43" s="329" t="s">
        <v>776</v>
      </c>
      <c r="F43" s="330">
        <f ca="1">INDIRECT("'数据-取费表'!k"&amp;$G$1)</f>
        <v>11487.92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5" t="s">
        <v>806</v>
      </c>
      <c r="P45" s="1364"/>
      <c r="Q45" s="1364"/>
      <c r="R45" s="1364"/>
    </row>
    <row r="46" spans="1:18" s="1290" customFormat="1" ht="13.8" thickBot="1">
      <c r="A46" s="1309" t="s">
        <v>807</v>
      </c>
      <c r="C46" s="1310">
        <f ca="1">C68-C40</f>
        <v>-21788</v>
      </c>
      <c r="D46" s="1311" t="str">
        <f>C2</f>
        <v>万元</v>
      </c>
      <c r="E46" s="1305"/>
      <c r="F46" s="1305"/>
      <c r="I46" s="1312" t="s">
        <v>808</v>
      </c>
      <c r="J46" s="1313"/>
      <c r="K46" s="1314"/>
      <c r="L46" s="1315">
        <f ca="1">IF(M47="住宅",0,IF(L48&gt;J51,L60,J60))</f>
        <v>623</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79"/>
      <c r="I47" s="1319" t="s">
        <v>813</v>
      </c>
      <c r="J47" s="1320" t="s">
        <v>3426</v>
      </c>
      <c r="K47" s="1321" t="s">
        <v>814</v>
      </c>
      <c r="L47" s="1322">
        <f ca="1">INDIRECT("'数据-取费表'!d"&amp;$G$1)</f>
        <v>50</v>
      </c>
      <c r="M47" s="1286" t="str">
        <f>IF(ISNUMBER(FIND("住宅",C1)),"住宅","非住宅")</f>
        <v>非住宅</v>
      </c>
      <c r="O47" s="1323" t="s">
        <v>403</v>
      </c>
      <c r="P47" s="1324" t="s">
        <v>815</v>
      </c>
      <c r="Q47" s="1325">
        <f ca="1">C40+J29</f>
        <v>21374</v>
      </c>
      <c r="R47" s="1325" t="s">
        <v>816</v>
      </c>
    </row>
    <row r="48" spans="1:18" s="1290" customFormat="1" ht="40.200000000000003" thickBot="1">
      <c r="A48" s="1045" t="s">
        <v>438</v>
      </c>
      <c r="B48" s="292" t="s">
        <v>690</v>
      </c>
      <c r="C48" s="1266">
        <f ca="1">C49+C53+C55</f>
        <v>0</v>
      </c>
      <c r="D48" s="1047"/>
      <c r="E48" s="1048"/>
      <c r="F48" s="906"/>
      <c r="G48" s="679"/>
      <c r="H48" s="680"/>
      <c r="I48" s="1326" t="s">
        <v>817</v>
      </c>
      <c r="J48" s="1327" t="s">
        <v>3427</v>
      </c>
      <c r="K48" s="1328" t="s">
        <v>818</v>
      </c>
      <c r="L48" s="1329">
        <f ca="1">INDIRECT("'数据-取费表'!f"&amp;$G$1)</f>
        <v>25.6</v>
      </c>
      <c r="O48" s="1323" t="s">
        <v>404</v>
      </c>
      <c r="P48" s="1324" t="s">
        <v>819</v>
      </c>
      <c r="Q48" s="1325">
        <f ca="1">J60</f>
        <v>623</v>
      </c>
      <c r="R48" s="1325" t="s">
        <v>820</v>
      </c>
    </row>
    <row r="49" spans="1:18" s="1290" customFormat="1" ht="13.8" thickBot="1">
      <c r="A49" s="919" t="s">
        <v>439</v>
      </c>
      <c r="B49" s="1277" t="s">
        <v>777</v>
      </c>
      <c r="C49" s="1049">
        <f ca="1">ROUND(F49*F51*F50*(1-F52)/10000,0)</f>
        <v>0</v>
      </c>
      <c r="D49" s="990" t="s">
        <v>2107</v>
      </c>
      <c r="E49" s="1278" t="s">
        <v>778</v>
      </c>
      <c r="F49" s="995"/>
      <c r="H49" s="680"/>
      <c r="I49" s="1326" t="s">
        <v>821</v>
      </c>
      <c r="J49" s="1330">
        <v>2015</v>
      </c>
      <c r="K49" s="1328" t="s">
        <v>822</v>
      </c>
      <c r="L49" s="1331"/>
      <c r="O49" s="1332" t="s">
        <v>405</v>
      </c>
      <c r="P49" s="1324" t="s">
        <v>823</v>
      </c>
      <c r="Q49" s="1325">
        <f ca="1">C29</f>
        <v>9746</v>
      </c>
      <c r="R49" s="1325" t="s">
        <v>816</v>
      </c>
    </row>
    <row r="50" spans="1:18" s="1290" customFormat="1" ht="13.8" thickBot="1">
      <c r="A50" s="920"/>
      <c r="B50" s="923"/>
      <c r="C50" s="1053"/>
      <c r="D50" s="897"/>
      <c r="E50" s="991" t="s">
        <v>695</v>
      </c>
      <c r="F50" s="992">
        <f ca="1">F7</f>
        <v>11487.92</v>
      </c>
      <c r="H50" s="680"/>
      <c r="I50" s="1326" t="s">
        <v>824</v>
      </c>
      <c r="J50" s="1333">
        <f>SUMPRODUCT((I63:I65=J47)*(J62:L62=J48)*(J63:L65))</f>
        <v>60</v>
      </c>
      <c r="K50" s="1328" t="s">
        <v>825</v>
      </c>
      <c r="L50" s="1331"/>
      <c r="M50" s="1334"/>
      <c r="O50" s="1332" t="s">
        <v>406</v>
      </c>
      <c r="P50" s="1324" t="s">
        <v>826</v>
      </c>
      <c r="Q50" s="1335">
        <f ca="1">J58</f>
        <v>0.40699999999999997</v>
      </c>
      <c r="R50" s="1325"/>
    </row>
    <row r="51" spans="1:18" s="1290" customFormat="1" ht="13.8" thickBot="1">
      <c r="A51" s="921"/>
      <c r="B51" s="923"/>
      <c r="C51" s="924"/>
      <c r="D51" s="897"/>
      <c r="E51" s="925" t="s">
        <v>696</v>
      </c>
      <c r="F51" s="295">
        <f ca="1">F8</f>
        <v>365</v>
      </c>
      <c r="I51" s="1336" t="s">
        <v>827</v>
      </c>
      <c r="J51" s="1329">
        <f>IF(J49="",J50,J49+J50-YEAR('数据-取费表'!B2))</f>
        <v>50</v>
      </c>
      <c r="K51" s="1337" t="s">
        <v>828</v>
      </c>
      <c r="L51" s="1338">
        <f ca="1">ROUND(-PV(INDIRECT("'数据-取费表'!h"&amp;$G$1),J51,(C39-C13*C76),0),0)</f>
        <v>12729</v>
      </c>
      <c r="M51" s="1339"/>
      <c r="O51" s="1332" t="s">
        <v>407</v>
      </c>
      <c r="P51" s="1324" t="s">
        <v>829</v>
      </c>
      <c r="Q51" s="1335">
        <f>J52</f>
        <v>7.4999999999999997E-2</v>
      </c>
      <c r="R51" s="1325"/>
    </row>
    <row r="52" spans="1:18" s="1290" customFormat="1" ht="13.8" thickBot="1">
      <c r="A52" s="921"/>
      <c r="B52" s="923"/>
      <c r="C52" s="924"/>
      <c r="D52" s="897"/>
      <c r="E52" s="925" t="s">
        <v>697</v>
      </c>
      <c r="F52" s="989"/>
      <c r="I52" s="1340" t="s">
        <v>830</v>
      </c>
      <c r="J52" s="1341">
        <v>7.4999999999999997E-2</v>
      </c>
      <c r="K52" s="1340" t="s">
        <v>831</v>
      </c>
      <c r="L52" s="1341"/>
      <c r="O52" s="1332" t="s">
        <v>408</v>
      </c>
      <c r="P52" s="1324" t="s">
        <v>832</v>
      </c>
      <c r="Q52" s="1325">
        <f ca="1">J53</f>
        <v>25.6</v>
      </c>
      <c r="R52" s="1325" t="s">
        <v>833</v>
      </c>
    </row>
    <row r="53" spans="1:18" s="1290" customFormat="1" ht="36.6" thickBot="1">
      <c r="A53" s="1077" t="s">
        <v>440</v>
      </c>
      <c r="B53" s="1279" t="s">
        <v>698</v>
      </c>
      <c r="C53" s="308">
        <f ca="1">ROUND(IF(F53="押一",C49/12*F11,IF(F53="押二",C49/12*2*F11,IF(F53="押三",C49/12*3*F11,C54*F11))),0)</f>
        <v>0</v>
      </c>
      <c r="D53" s="150" t="s">
        <v>2113</v>
      </c>
      <c r="E53" s="305" t="s">
        <v>699</v>
      </c>
      <c r="F53" s="1051"/>
      <c r="I53" s="1342" t="s">
        <v>834</v>
      </c>
      <c r="J53" s="2004">
        <f ca="1">IF(M47="住宅",IF(D1="——",MAX(J51,L48),MAX(J51,L48-'数据-取费表'!B24)),IF(D1="——",MIN(J51,L48),MIN(J51,L48-'数据-取费表'!B24)))</f>
        <v>25.6</v>
      </c>
      <c r="K53" s="3411" t="s">
        <v>835</v>
      </c>
      <c r="L53" s="3412"/>
      <c r="O53" s="1323" t="s">
        <v>409</v>
      </c>
      <c r="P53" s="1324" t="s">
        <v>836</v>
      </c>
      <c r="Q53" s="1325">
        <f ca="1">Q47+Q48</f>
        <v>21997</v>
      </c>
      <c r="R53" s="1325" t="s">
        <v>410</v>
      </c>
    </row>
    <row r="54" spans="1:18" s="1290" customFormat="1" ht="24.6" thickBot="1">
      <c r="A54" s="1078"/>
      <c r="B54" s="1273" t="s">
        <v>677</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f ca="1">ROUND(IF(J47="钢混",J57/J50,1-(1-2%)*(J50-J57)/J50),3)</f>
        <v>0.40699999999999997</v>
      </c>
      <c r="K55" s="1348" t="s">
        <v>839</v>
      </c>
      <c r="L55" s="1349"/>
      <c r="O55" s="1316" t="s">
        <v>809</v>
      </c>
      <c r="P55" s="1317" t="s">
        <v>810</v>
      </c>
      <c r="Q55" s="1318" t="s">
        <v>811</v>
      </c>
      <c r="R55" s="1318" t="s">
        <v>812</v>
      </c>
    </row>
    <row r="56" spans="1:18" s="1290" customFormat="1" ht="37.200000000000003" thickTop="1" thickBot="1">
      <c r="A56" s="901">
        <v>2</v>
      </c>
      <c r="B56" s="902" t="s">
        <v>702</v>
      </c>
      <c r="C56" s="224">
        <f ca="1">C13</f>
        <v>8284</v>
      </c>
      <c r="D56" s="1350"/>
      <c r="E56" s="1351"/>
      <c r="F56" s="1343"/>
      <c r="I56" s="1352" t="s">
        <v>840</v>
      </c>
      <c r="J56" s="1353" t="s">
        <v>3428</v>
      </c>
      <c r="K56" s="1326" t="s">
        <v>841</v>
      </c>
      <c r="L56" s="1329" t="str">
        <f ca="1">IF(L48&lt;J51,"——",L48-J53)</f>
        <v>——</v>
      </c>
      <c r="O56" s="1323" t="s">
        <v>403</v>
      </c>
      <c r="P56" s="1324" t="s">
        <v>815</v>
      </c>
      <c r="Q56" s="1325">
        <f ca="1">C40+J29</f>
        <v>21374</v>
      </c>
      <c r="R56" s="1325" t="s">
        <v>816</v>
      </c>
    </row>
    <row r="57" spans="1:18" s="1290" customFormat="1" ht="24.6" thickBot="1">
      <c r="A57" s="1354"/>
      <c r="B57" s="894" t="s">
        <v>765</v>
      </c>
      <c r="C57" s="230">
        <f ca="1">C29</f>
        <v>9746</v>
      </c>
      <c r="D57" s="1355"/>
      <c r="E57" s="1356"/>
      <c r="F57" s="1357"/>
      <c r="I57" s="1358" t="s">
        <v>842</v>
      </c>
      <c r="J57" s="1359">
        <f ca="1">IF(OR(M47="住宅",J51&lt;L48,J56="是"),"——",J51-L48)</f>
        <v>24.4</v>
      </c>
      <c r="K57" s="1326" t="s">
        <v>843</v>
      </c>
      <c r="L57" s="1329" t="str">
        <f ca="1">IF(L48&lt;J51,"——",IF(L55="比较法",L49,IF(L55="基准地价",L50,L51)))</f>
        <v>——</v>
      </c>
      <c r="O57" s="1323" t="s">
        <v>404</v>
      </c>
      <c r="P57" s="1324" t="s">
        <v>844</v>
      </c>
      <c r="Q57" s="1325">
        <f ca="1">L60</f>
        <v>0</v>
      </c>
      <c r="R57" s="1325" t="s">
        <v>845</v>
      </c>
    </row>
    <row r="58" spans="1:18" s="1290" customFormat="1" ht="24.6" thickBot="1">
      <c r="A58" s="307" t="s">
        <v>393</v>
      </c>
      <c r="B58" s="902" t="s">
        <v>712</v>
      </c>
      <c r="C58" s="308">
        <f ca="1">ROUND(C59+C64+C65+C66,0)</f>
        <v>29</v>
      </c>
      <c r="D58" s="904" t="s">
        <v>713</v>
      </c>
      <c r="E58" s="905"/>
      <c r="F58" s="906"/>
      <c r="I58" s="1358" t="s">
        <v>846</v>
      </c>
      <c r="J58" s="1360">
        <f ca="1">IF(J55&lt;0.4,0.4,J55)</f>
        <v>0.40699999999999997</v>
      </c>
      <c r="K58" s="1337" t="s">
        <v>847</v>
      </c>
      <c r="L58" s="1329" t="e">
        <f ca="1">ROUND(POWER(1+L52,L47-L48)*(POWER(1+L52,L48)-1)/(POWER(1+L52,L47)-1),4)</f>
        <v>#DIV/0!</v>
      </c>
      <c r="O58" s="1332" t="s">
        <v>405</v>
      </c>
      <c r="P58" s="1324" t="s">
        <v>848</v>
      </c>
      <c r="Q58" s="1325">
        <f>IF(L55="比较法",L49,IF(L55="基准地价",L50,0))</f>
        <v>0</v>
      </c>
      <c r="R58" s="1325" t="s">
        <v>816</v>
      </c>
    </row>
    <row r="59" spans="1:18" s="1290" customFormat="1" ht="24.6" thickBot="1">
      <c r="A59" s="926" t="s">
        <v>398</v>
      </c>
      <c r="B59" s="894" t="s">
        <v>717</v>
      </c>
      <c r="C59" s="2138">
        <f ca="1">ROUND(IF(AND(项目基本情况!B11="自然人",项目基本情况!B10="北京市"),C49*F59/(1+'数据-取费表'!C42),C60+C61+C62),0)</f>
        <v>1</v>
      </c>
      <c r="D59" s="907" t="s">
        <v>718</v>
      </c>
      <c r="E59" s="908" t="s">
        <v>719</v>
      </c>
      <c r="F59" s="2137" t="str">
        <f>IF(项目基本情况!B11="企业","——",IF('数据-取费表'!B10="住宅",IF(F49*F50*F51/12/(1+'数据-取费表'!F30)&gt;100000,4%,2.5%),IF(F49*F50*F51/12/(1+'数据-取费表'!F30)&gt;100000,12%,7%)))</f>
        <v>——</v>
      </c>
      <c r="I59" s="1358" t="s">
        <v>849</v>
      </c>
      <c r="J59" s="1359">
        <f ca="1">IF(OR(M47="住宅",J51&lt;L48,J56="是"),"——",ROUND(C29*J58,0))</f>
        <v>3967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850</v>
      </c>
      <c r="Q59" s="1335">
        <f>L52</f>
        <v>0</v>
      </c>
      <c r="R59" s="1325"/>
    </row>
    <row r="60" spans="1:18" s="1290" customFormat="1" ht="16.2" thickBot="1">
      <c r="A60" s="926" t="s">
        <v>397</v>
      </c>
      <c r="B60" s="894" t="s">
        <v>721</v>
      </c>
      <c r="C60" s="21">
        <f ca="1">IF(项目基本情况!B11="自然人","——",ROUND(C48*F60/(1+'数据-取费表'!C42),2))</f>
        <v>0</v>
      </c>
      <c r="D60" s="908" t="s">
        <v>722</v>
      </c>
      <c r="E60" s="894" t="s">
        <v>710</v>
      </c>
      <c r="F60" s="322">
        <f t="shared" ref="F60:F66" si="0">F32</f>
        <v>5.5000000000000007E-2</v>
      </c>
      <c r="I60" s="1361" t="s">
        <v>851</v>
      </c>
      <c r="J60" s="1362">
        <f ca="1">IF(OR(M47="住宅",J51&lt;L48,J56="是"),"0",ROUND(J59/(1+J52)^J53,0))</f>
        <v>623</v>
      </c>
      <c r="K60" s="1363" t="s">
        <v>852</v>
      </c>
      <c r="L60" s="1362">
        <f ca="1">IF(OR(M47="住宅",L48&lt;J51),0,ROUND(L57*(L58/L59-1),0))</f>
        <v>0</v>
      </c>
      <c r="O60" s="1332" t="s">
        <v>407</v>
      </c>
      <c r="P60" s="1324" t="s">
        <v>853</v>
      </c>
      <c r="Q60" s="1325" t="e">
        <f ca="1">L58</f>
        <v>#DIV/0!</v>
      </c>
      <c r="R60" s="1325" t="s">
        <v>854</v>
      </c>
    </row>
    <row r="61" spans="1:18" s="1290" customFormat="1" ht="13.8" thickBot="1">
      <c r="A61" s="926" t="s">
        <v>779</v>
      </c>
      <c r="B61" s="894" t="s">
        <v>780</v>
      </c>
      <c r="C61" s="21">
        <f ca="1">IF(项目基本情况!B11="自然人","——",IF(D61="按租金收入计税",ROUND(C49*F61/(1+'数据-取费表'!C42),2),IF(D61="按房产原值计税",ROUND(C57*F61*0.7,2),INDIRECT("'数据-取费表'!Aj"&amp;$G$1))))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8" thickBot="1">
      <c r="A62" s="926" t="s">
        <v>782</v>
      </c>
      <c r="B62" s="893" t="s">
        <v>783</v>
      </c>
      <c r="C62" s="22">
        <f ca="1">IF(项目基本情况!B11="自然人","——",ROUND(F62*F63/10000,2))</f>
        <v>0.81</v>
      </c>
      <c r="D62" s="909" t="s">
        <v>784</v>
      </c>
      <c r="E62" s="894" t="s">
        <v>785</v>
      </c>
      <c r="F62" s="317">
        <f t="shared" si="0"/>
        <v>1.5</v>
      </c>
      <c r="I62" s="1365" t="s">
        <v>856</v>
      </c>
      <c r="J62" s="610" t="s">
        <v>857</v>
      </c>
      <c r="K62" s="610" t="s">
        <v>858</v>
      </c>
      <c r="L62" s="610" t="s">
        <v>859</v>
      </c>
      <c r="M62" s="1366" t="s">
        <v>860</v>
      </c>
      <c r="O62" s="1323" t="s">
        <v>409</v>
      </c>
      <c r="P62" s="1324" t="s">
        <v>861</v>
      </c>
      <c r="Q62" s="1325">
        <f ca="1">Q56+Q57</f>
        <v>21374</v>
      </c>
      <c r="R62" s="1325" t="s">
        <v>410</v>
      </c>
    </row>
    <row r="63" spans="1:18" s="1290" customFormat="1" ht="13.8" thickBot="1">
      <c r="A63" s="318"/>
      <c r="B63" s="900"/>
      <c r="C63" s="26"/>
      <c r="D63" s="910"/>
      <c r="E63" s="894" t="s">
        <v>786</v>
      </c>
      <c r="F63" s="295">
        <f t="shared" ca="1" si="0"/>
        <v>5422.86</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f ca="1">ROUND(C57*F64,2)</f>
        <v>19.489999999999998</v>
      </c>
      <c r="D64" s="908" t="s">
        <v>789</v>
      </c>
      <c r="E64" s="894" t="s">
        <v>781</v>
      </c>
      <c r="F64" s="320">
        <f t="shared" ca="1" si="0"/>
        <v>2E-3</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f ca="1">ROUND(C56*F65,2)</f>
        <v>8.2799999999999994</v>
      </c>
      <c r="D65" s="908" t="s">
        <v>741</v>
      </c>
      <c r="E65" s="894" t="s">
        <v>742</v>
      </c>
      <c r="F65" s="321">
        <f t="shared" ca="1" si="0"/>
        <v>1E-3</v>
      </c>
      <c r="I65" s="1365" t="s">
        <v>865</v>
      </c>
      <c r="J65" s="610">
        <v>40</v>
      </c>
      <c r="K65" s="610">
        <v>30</v>
      </c>
      <c r="L65" s="610">
        <v>50</v>
      </c>
      <c r="M65" s="1367">
        <v>0.02</v>
      </c>
      <c r="O65" s="1323" t="s">
        <v>403</v>
      </c>
      <c r="P65" s="1324" t="s">
        <v>866</v>
      </c>
      <c r="Q65" s="1325">
        <f ca="1">C40+J29</f>
        <v>21374</v>
      </c>
      <c r="R65" s="1325" t="s">
        <v>816</v>
      </c>
    </row>
    <row r="66" spans="1:18" s="1290" customFormat="1" ht="16.2" thickBot="1">
      <c r="A66" s="926" t="s">
        <v>791</v>
      </c>
      <c r="B66" s="894" t="s">
        <v>726</v>
      </c>
      <c r="C66" s="21">
        <f ca="1">ROUND(C48*F66,2)</f>
        <v>0</v>
      </c>
      <c r="D66" s="908" t="s">
        <v>792</v>
      </c>
      <c r="E66" s="894" t="s">
        <v>710</v>
      </c>
      <c r="F66" s="304">
        <f t="shared" ca="1" si="0"/>
        <v>5.0000000000000001E-3</v>
      </c>
      <c r="O66" s="1323" t="s">
        <v>404</v>
      </c>
      <c r="P66" s="1324" t="s">
        <v>844</v>
      </c>
      <c r="Q66" s="1325">
        <f ca="1">L60</f>
        <v>0</v>
      </c>
      <c r="R66" s="1325" t="s">
        <v>867</v>
      </c>
    </row>
    <row r="67" spans="1:18" s="1290" customFormat="1" ht="24.6" thickBot="1">
      <c r="A67" s="901" t="s">
        <v>394</v>
      </c>
      <c r="B67" s="911" t="s">
        <v>750</v>
      </c>
      <c r="C67" s="308">
        <f ca="1">C48-C58</f>
        <v>-29</v>
      </c>
      <c r="D67" s="907" t="s">
        <v>751</v>
      </c>
      <c r="E67" s="912"/>
      <c r="F67" s="913"/>
      <c r="O67" s="1332" t="s">
        <v>405</v>
      </c>
      <c r="P67" s="1324" t="s">
        <v>848</v>
      </c>
      <c r="Q67" s="1368">
        <f ca="1">L51</f>
        <v>12729</v>
      </c>
      <c r="R67" s="1325" t="s">
        <v>868</v>
      </c>
    </row>
    <row r="68" spans="1:18" s="1290" customFormat="1" ht="16.2" thickBot="1">
      <c r="A68" s="891" t="s">
        <v>395</v>
      </c>
      <c r="B68" s="892" t="s">
        <v>772</v>
      </c>
      <c r="C68" s="293">
        <f ca="1">ROUND(C67*(1-((1+F70)/(1+F68))^F69)/(F68-F70),0)</f>
        <v>-414</v>
      </c>
      <c r="D68" s="909" t="s">
        <v>756</v>
      </c>
      <c r="E68" s="894" t="s">
        <v>757</v>
      </c>
      <c r="F68" s="304">
        <f ca="1">F40</f>
        <v>0.05</v>
      </c>
      <c r="O68" s="1332" t="s">
        <v>406</v>
      </c>
      <c r="P68" s="1369" t="s">
        <v>869</v>
      </c>
      <c r="Q68" s="1325">
        <f ca="1">ROUND(Q69-Q70*Q71,0)</f>
        <v>644</v>
      </c>
      <c r="R68" s="1325" t="s">
        <v>414</v>
      </c>
    </row>
    <row r="69" spans="1:18" s="1290" customFormat="1" ht="13.8" thickBot="1">
      <c r="A69" s="895"/>
      <c r="B69" s="896"/>
      <c r="C69" s="298"/>
      <c r="D69" s="914" t="s">
        <v>760</v>
      </c>
      <c r="E69" s="894" t="s">
        <v>761</v>
      </c>
      <c r="F69" s="324">
        <f ca="1">F41</f>
        <v>25.6</v>
      </c>
      <c r="O69" s="1332" t="s">
        <v>411</v>
      </c>
      <c r="P69" s="1369" t="s">
        <v>870</v>
      </c>
      <c r="Q69" s="1325">
        <f ca="1">C39</f>
        <v>1224</v>
      </c>
      <c r="R69" s="1325" t="s">
        <v>816</v>
      </c>
    </row>
    <row r="70" spans="1:18" s="1290" customFormat="1" ht="13.8" thickBot="1">
      <c r="A70" s="898"/>
      <c r="B70" s="899"/>
      <c r="C70" s="302"/>
      <c r="D70" s="910"/>
      <c r="E70" s="894" t="s">
        <v>764</v>
      </c>
      <c r="F70" s="989"/>
      <c r="O70" s="1332" t="s">
        <v>412</v>
      </c>
      <c r="P70" s="1369" t="s">
        <v>871</v>
      </c>
      <c r="Q70" s="1325">
        <f ca="1">C13</f>
        <v>8284</v>
      </c>
      <c r="R70" s="1325" t="s">
        <v>816</v>
      </c>
    </row>
    <row r="71" spans="1:18" s="1290" customFormat="1" ht="13.8" thickBot="1">
      <c r="A71" s="915" t="s">
        <v>396</v>
      </c>
      <c r="B71" s="916" t="s">
        <v>774</v>
      </c>
      <c r="C71" s="327">
        <f ca="1">ROUND(C68*10000/F71,0)</f>
        <v>-360</v>
      </c>
      <c r="D71" s="917" t="s">
        <v>775</v>
      </c>
      <c r="E71" s="918" t="s">
        <v>776</v>
      </c>
      <c r="F71" s="330">
        <f ca="1">F43</f>
        <v>11487.92</v>
      </c>
      <c r="O71" s="1332" t="s">
        <v>413</v>
      </c>
      <c r="P71" s="1369" t="s">
        <v>872</v>
      </c>
      <c r="Q71" s="1335">
        <f ca="1">C76</f>
        <v>7.0000000000000007E-2</v>
      </c>
      <c r="R71" s="1325"/>
    </row>
    <row r="72" spans="1:18" s="1290" customFormat="1" ht="13.8" thickBot="1">
      <c r="B72" s="683"/>
      <c r="C72" s="683"/>
      <c r="O72" s="1332" t="s">
        <v>407</v>
      </c>
      <c r="P72" s="1324" t="s">
        <v>850</v>
      </c>
      <c r="Q72" s="1335">
        <f>L52</f>
        <v>0</v>
      </c>
      <c r="R72" s="1325"/>
    </row>
    <row r="73" spans="1:18" ht="16.2" thickBot="1">
      <c r="A73" s="1290"/>
      <c r="B73" s="683"/>
      <c r="C73" s="683"/>
      <c r="D73" s="1290"/>
      <c r="E73" s="1290"/>
      <c r="F73" s="1290"/>
      <c r="O73" s="1332" t="s">
        <v>408</v>
      </c>
      <c r="P73" s="1324" t="s">
        <v>853</v>
      </c>
      <c r="Q73" s="1325" t="e">
        <f ca="1">L58</f>
        <v>#DIV/0!</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8" thickBot="1">
      <c r="A75" s="1290"/>
      <c r="B75" s="331" t="s">
        <v>793</v>
      </c>
      <c r="C75" s="332">
        <f ca="1">ROUND(C13*C76,0)</f>
        <v>580</v>
      </c>
      <c r="D75" s="1290"/>
      <c r="E75" s="1290"/>
      <c r="F75" s="1290"/>
      <c r="K75" s="1307"/>
      <c r="L75" s="1290"/>
      <c r="O75" s="1323" t="s">
        <v>409</v>
      </c>
      <c r="P75" s="1324" t="s">
        <v>836</v>
      </c>
      <c r="Q75" s="1325">
        <f ca="1">Q65+Q66</f>
        <v>21374</v>
      </c>
      <c r="R75" s="1325" t="s">
        <v>410</v>
      </c>
    </row>
    <row r="76" spans="1:18">
      <c r="B76" s="333" t="s">
        <v>794</v>
      </c>
      <c r="C76" s="334">
        <f ca="1">INDIRECT("'数据-取费表'!j"&amp;$G$1)</f>
        <v>7.0000000000000007E-2</v>
      </c>
      <c r="I76" s="1290"/>
      <c r="J76" s="1290"/>
      <c r="K76" s="1307"/>
      <c r="L76" s="1290"/>
    </row>
    <row r="77" spans="1:18">
      <c r="B77" s="335" t="s">
        <v>795</v>
      </c>
      <c r="C77" s="336"/>
      <c r="I77" s="1290"/>
      <c r="J77" s="1290"/>
      <c r="K77" s="1307"/>
      <c r="L77" s="1290"/>
    </row>
    <row r="78" spans="1:18">
      <c r="B78" s="262" t="s">
        <v>796</v>
      </c>
      <c r="C78" s="337"/>
    </row>
    <row r="79" spans="1:18">
      <c r="B79" s="331" t="s">
        <v>797</v>
      </c>
      <c r="C79" s="266">
        <f ca="1">1-C80</f>
        <v>0.52600000000000002</v>
      </c>
    </row>
    <row r="80" spans="1:18">
      <c r="B80" s="331" t="s">
        <v>798</v>
      </c>
      <c r="C80" s="266">
        <f ca="1">ROUND(C75/C39,3)</f>
        <v>0.47399999999999998</v>
      </c>
    </row>
    <row r="81" spans="2:3">
      <c r="B81" s="262" t="s">
        <v>799</v>
      </c>
      <c r="C81" s="230"/>
    </row>
    <row r="82" spans="2:3">
      <c r="B82" s="265" t="s">
        <v>800</v>
      </c>
      <c r="C82" s="267">
        <f ca="1">1-C83</f>
        <v>0.61199999999999999</v>
      </c>
    </row>
    <row r="83" spans="2:3">
      <c r="B83" s="265" t="s">
        <v>801</v>
      </c>
      <c r="C83" s="266">
        <f ca="1">ROUND(C13/C40,3)</f>
        <v>0.38800000000000001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1"/>
      <c r="C1" s="1285"/>
      <c r="D1" s="1269" t="s">
        <v>43</v>
      </c>
      <c r="E1" s="1270" t="s">
        <v>676</v>
      </c>
      <c r="F1" s="997">
        <f ca="1">J53</f>
        <v>0</v>
      </c>
      <c r="G1" s="1284">
        <f>MATCH(C1,'数据-取费表'!A6:A16,0)+5</f>
        <v>8</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876</v>
      </c>
      <c r="B2" s="3121" t="e">
        <f ca="1">ROUND(D2/10000,4)</f>
        <v>#DIV/0!</v>
      </c>
      <c r="C2" s="1287" t="s">
        <v>877</v>
      </c>
      <c r="D2" s="1373" t="e">
        <f ca="1">C40+J29+L46</f>
        <v>#DIV/0!</v>
      </c>
      <c r="E2" s="1293" t="s">
        <v>878</v>
      </c>
      <c r="F2" s="1294"/>
      <c r="G2" s="2476"/>
      <c r="H2" s="2466"/>
      <c r="I2" s="2466"/>
      <c r="J2" s="2466"/>
      <c r="K2" s="2467"/>
      <c r="L2" s="2466"/>
      <c r="M2" s="2466"/>
    </row>
    <row r="3" spans="1:37" ht="18" customHeight="1" thickBot="1">
      <c r="A3" s="1295" t="s">
        <v>879</v>
      </c>
      <c r="B3" s="1296">
        <f ca="1">IF(ISERROR(D2/F43),0,ROUND(D2/F43,0))</f>
        <v>0</v>
      </c>
      <c r="C3" s="1287" t="s">
        <v>880</v>
      </c>
      <c r="D3" s="1287"/>
      <c r="E3" s="1293"/>
      <c r="F3" s="1294"/>
      <c r="G3" s="2476"/>
      <c r="H3" s="647" t="s">
        <v>874</v>
      </c>
      <c r="I3" s="1288"/>
      <c r="J3" s="1288"/>
      <c r="K3" s="1289"/>
      <c r="L3" s="1288"/>
      <c r="M3" s="1288"/>
    </row>
    <row r="4" spans="1:37" ht="18" customHeight="1">
      <c r="A4" s="287" t="s">
        <v>881</v>
      </c>
      <c r="B4" s="288" t="s">
        <v>882</v>
      </c>
      <c r="C4" s="288" t="s">
        <v>883</v>
      </c>
      <c r="D4" s="288" t="s">
        <v>884</v>
      </c>
      <c r="E4" s="289" t="s">
        <v>885</v>
      </c>
      <c r="F4" s="290"/>
      <c r="G4" s="1290"/>
      <c r="H4" s="287" t="s">
        <v>881</v>
      </c>
      <c r="I4" s="288" t="s">
        <v>882</v>
      </c>
      <c r="J4" s="288" t="s">
        <v>883</v>
      </c>
      <c r="K4" s="288" t="s">
        <v>884</v>
      </c>
      <c r="L4" s="289" t="s">
        <v>885</v>
      </c>
      <c r="M4" s="290"/>
    </row>
    <row r="5" spans="1:37" ht="18" customHeight="1">
      <c r="A5" s="291">
        <v>1</v>
      </c>
      <c r="B5" s="292" t="s">
        <v>886</v>
      </c>
      <c r="C5" s="1005">
        <f ca="1">C6+C10+C12</f>
        <v>0</v>
      </c>
      <c r="D5" s="1271" t="s">
        <v>887</v>
      </c>
      <c r="E5" s="1006"/>
      <c r="F5" s="1007"/>
      <c r="G5" s="1290"/>
      <c r="H5" s="291">
        <v>1</v>
      </c>
      <c r="I5" s="292" t="s">
        <v>886</v>
      </c>
      <c r="J5" s="1005">
        <f ca="1">J6+J10+J12</f>
        <v>0</v>
      </c>
      <c r="K5" s="1271" t="s">
        <v>887</v>
      </c>
      <c r="L5" s="1006"/>
      <c r="M5" s="1007"/>
    </row>
    <row r="6" spans="1:37" ht="18" customHeight="1">
      <c r="A6" s="1004" t="s">
        <v>398</v>
      </c>
      <c r="B6" s="3413" t="s">
        <v>692</v>
      </c>
      <c r="C6" s="1009">
        <f ca="1">ROUND(F6*F8*F7*(1-F9),0)</f>
        <v>0</v>
      </c>
      <c r="D6" s="147" t="s">
        <v>2103</v>
      </c>
      <c r="E6" s="294" t="s">
        <v>694</v>
      </c>
      <c r="F6" s="295">
        <f ca="1">INDIRECT("'数据-取费表'!u"&amp;$G$1)</f>
        <v>0</v>
      </c>
      <c r="G6" s="1290"/>
      <c r="H6" s="1004" t="s">
        <v>398</v>
      </c>
      <c r="I6" s="3413" t="s">
        <v>692</v>
      </c>
      <c r="J6" s="293">
        <f ca="1">ROUND(M6*M8*M7*(1-M9),0)</f>
        <v>0</v>
      </c>
      <c r="K6" s="1282" t="s">
        <v>2104</v>
      </c>
      <c r="L6" s="294" t="s">
        <v>694</v>
      </c>
      <c r="M6" s="295">
        <f ca="1">INDIRECT("'数据-取费表'!z"&amp;$G$1)</f>
        <v>0</v>
      </c>
    </row>
    <row r="7" spans="1:37" ht="18" customHeight="1">
      <c r="A7" s="1008"/>
      <c r="B7" s="3414"/>
      <c r="C7" s="1010"/>
      <c r="D7" s="299"/>
      <c r="E7" s="1011" t="s">
        <v>695</v>
      </c>
      <c r="F7" s="295">
        <f ca="1">IF(INDIRECT("'数据-取费表'!ah"&amp;$G$1)="",INDIRECT("'数据-取费表'!k"&amp;$G$1),INDIRECT("'数据-取费表'!ah"&amp;$G$1))</f>
        <v>0</v>
      </c>
      <c r="G7" s="1290"/>
      <c r="H7" s="296"/>
      <c r="I7" s="3414"/>
      <c r="J7" s="298"/>
      <c r="K7" s="299"/>
      <c r="L7" s="294" t="s">
        <v>695</v>
      </c>
      <c r="M7" s="295">
        <f ca="1">F7</f>
        <v>0</v>
      </c>
    </row>
    <row r="8" spans="1:37" ht="18" customHeight="1">
      <c r="A8" s="296"/>
      <c r="B8" s="3414"/>
      <c r="C8" s="298"/>
      <c r="D8" s="299"/>
      <c r="E8" s="294" t="s">
        <v>696</v>
      </c>
      <c r="F8" s="295">
        <f ca="1">INDIRECT("'数据-取费表'!ai"&amp;$G$1)</f>
        <v>0</v>
      </c>
      <c r="G8" s="1290"/>
      <c r="H8" s="296"/>
      <c r="I8" s="3414"/>
      <c r="J8" s="298"/>
      <c r="K8" s="299"/>
      <c r="L8" s="294" t="s">
        <v>696</v>
      </c>
      <c r="M8" s="295">
        <f ca="1">INDIRECT("'数据-取费表'!ai"&amp;$G$1)</f>
        <v>0</v>
      </c>
    </row>
    <row r="9" spans="1:37" ht="18" customHeight="1">
      <c r="A9" s="296"/>
      <c r="B9" s="3415"/>
      <c r="C9" s="298"/>
      <c r="D9" s="299"/>
      <c r="E9" s="294" t="s">
        <v>697</v>
      </c>
      <c r="F9" s="304">
        <f ca="1">INDIRECT("'数据-取费表'!w"&amp;$G$1)</f>
        <v>0</v>
      </c>
      <c r="G9" s="1290"/>
      <c r="H9" s="296"/>
      <c r="I9" s="3415"/>
      <c r="J9" s="298"/>
      <c r="K9" s="299"/>
      <c r="L9" s="305" t="s">
        <v>697</v>
      </c>
      <c r="M9" s="306">
        <f ca="1">INDIRECT("'数据-取费表'!ab"&amp;$G$1)</f>
        <v>0</v>
      </c>
    </row>
    <row r="10" spans="1:37" ht="18" customHeight="1">
      <c r="A10" s="1004" t="s">
        <v>402</v>
      </c>
      <c r="B10" s="1272" t="s">
        <v>698</v>
      </c>
      <c r="C10" s="308">
        <f ca="1">ROUND(IF(F10="押一",C6/12*F11,IF(F10="押二",C6/12*2*F11,IF(F10="押三",C6/12*3*F11,C11*F11))),0)</f>
        <v>0</v>
      </c>
      <c r="D10" s="150" t="s">
        <v>2113</v>
      </c>
      <c r="E10" s="305" t="s">
        <v>699</v>
      </c>
      <c r="F10" s="1051"/>
      <c r="G10" s="1290"/>
      <c r="H10" s="1004" t="s">
        <v>402</v>
      </c>
      <c r="I10" s="1272" t="s">
        <v>698</v>
      </c>
      <c r="J10" s="293">
        <f ca="1">ROUND(IF(M10="押一",J6/12*M11,IF(M10="押二",J6/12*2*M11,IF(M10="押三",J6/12*3*M11,J11*M11))),0)</f>
        <v>0</v>
      </c>
      <c r="K10" s="1283" t="s">
        <v>2115</v>
      </c>
      <c r="L10" s="305" t="s">
        <v>699</v>
      </c>
      <c r="M10" s="1051"/>
    </row>
    <row r="11" spans="1:37" ht="18" customHeight="1">
      <c r="A11" s="300"/>
      <c r="B11" s="1273" t="s">
        <v>888</v>
      </c>
      <c r="C11" s="903"/>
      <c r="D11" s="299"/>
      <c r="E11" s="305" t="s">
        <v>700</v>
      </c>
      <c r="F11" s="306">
        <f ca="1">'数据-取费表'!B39</f>
        <v>1.4999999999999999E-2</v>
      </c>
      <c r="G11" s="1290"/>
      <c r="H11" s="1012"/>
      <c r="I11" s="1273" t="s">
        <v>889</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0</v>
      </c>
      <c r="D13" s="1016" t="s">
        <v>703</v>
      </c>
      <c r="E13" s="1016" t="s">
        <v>704</v>
      </c>
      <c r="F13" s="1017">
        <f ca="1">INDIRECT("'数据-取费表'!y"&amp;$G$1)</f>
        <v>0</v>
      </c>
      <c r="G13" s="1290"/>
      <c r="H13" s="1014">
        <v>2</v>
      </c>
      <c r="I13" s="1015" t="s">
        <v>702</v>
      </c>
      <c r="J13" s="1003">
        <f ca="1">ROUND(J14*J15,0)</f>
        <v>0</v>
      </c>
      <c r="K13" s="1022" t="s">
        <v>703</v>
      </c>
      <c r="L13" s="1297"/>
      <c r="M13" s="1298"/>
    </row>
    <row r="14" spans="1:37" ht="18" customHeight="1">
      <c r="A14" s="926" t="s">
        <v>397</v>
      </c>
      <c r="B14" s="294" t="s">
        <v>705</v>
      </c>
      <c r="C14" s="310">
        <f ca="1">ROUND(INDIRECT("'数据-取费表'!l"&amp;$G$1)*F43+'数据-取费表'!L14*INDIRECT("'数据-取费表'!S"&amp;$G$1),0)</f>
        <v>0</v>
      </c>
      <c r="D14" s="1255" t="s">
        <v>706</v>
      </c>
      <c r="E14" s="1253"/>
      <c r="F14" s="311"/>
      <c r="G14" s="1290"/>
      <c r="H14" s="926" t="s">
        <v>398</v>
      </c>
      <c r="I14" s="294" t="s">
        <v>707</v>
      </c>
      <c r="J14" s="21">
        <f ca="1">C29</f>
        <v>0</v>
      </c>
      <c r="K14" s="12"/>
      <c r="L14" s="757"/>
      <c r="M14" s="758"/>
    </row>
    <row r="15" spans="1:37" s="1302" customFormat="1" ht="18" customHeight="1" thickBot="1">
      <c r="A15" s="926" t="s">
        <v>399</v>
      </c>
      <c r="B15" s="294" t="s">
        <v>708</v>
      </c>
      <c r="C15" s="21">
        <f ca="1">ROUND(C14*F15,0)</f>
        <v>0</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ROUND(INDIRECT("'数据-取费表'!l"&amp;$G$1)*F43*F16,0)</f>
        <v>0</v>
      </c>
      <c r="D16" s="294" t="s">
        <v>709</v>
      </c>
      <c r="E16" s="294" t="s">
        <v>710</v>
      </c>
      <c r="F16" s="314">
        <f ca="1">IF(INDIRECT("'数据-取费表'!c"&amp;$G$1)="住宅",'数据-取费表'!B34,0)</f>
        <v>0</v>
      </c>
      <c r="G16" s="1290"/>
      <c r="H16" s="1014" t="s">
        <v>393</v>
      </c>
      <c r="I16" s="1015" t="s">
        <v>712</v>
      </c>
      <c r="J16" s="302">
        <f ca="1">ROUND(J17+J22+J23+J24,0)</f>
        <v>0</v>
      </c>
      <c r="K16" s="1022" t="s">
        <v>713</v>
      </c>
      <c r="L16" s="1023"/>
      <c r="M16" s="1007"/>
    </row>
    <row r="17" spans="1:37" s="1302" customFormat="1" ht="18" customHeight="1">
      <c r="A17" s="926" t="s">
        <v>679</v>
      </c>
      <c r="B17" s="294" t="s">
        <v>714</v>
      </c>
      <c r="C17" s="21">
        <f ca="1">ROUND(F17*(F43+INDIRECT("'数据-取费表'!S"&amp;$G$1)),0)</f>
        <v>0</v>
      </c>
      <c r="D17" s="294" t="s">
        <v>715</v>
      </c>
      <c r="E17" s="294" t="s">
        <v>716</v>
      </c>
      <c r="F17" s="23">
        <f>'数据-取费表'!B35</f>
        <v>200</v>
      </c>
      <c r="G17" s="1301"/>
      <c r="H17" s="926" t="s">
        <v>398</v>
      </c>
      <c r="I17" s="294" t="s">
        <v>717</v>
      </c>
      <c r="J17" s="2138">
        <f ca="1">ROUND(IF(AND(项目基本情况!B11="自然人",项目基本情况!B10="北京市"),J6*M17/(1+'数据-取费表'!C42),J18+J19+J20),0)</f>
        <v>0</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0</v>
      </c>
      <c r="D18" s="294" t="s">
        <v>709</v>
      </c>
      <c r="E18" s="294" t="s">
        <v>710</v>
      </c>
      <c r="F18" s="314">
        <f>'数据-取费表'!B36</f>
        <v>0.03</v>
      </c>
      <c r="G18" s="1301"/>
      <c r="H18" s="926" t="s">
        <v>397</v>
      </c>
      <c r="I18" s="294" t="s">
        <v>721</v>
      </c>
      <c r="J18" s="21">
        <f ca="1">ROUND(J6*M18/(1+'数据-取费表'!C42),0)</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0</v>
      </c>
      <c r="D19" s="123" t="s">
        <v>724</v>
      </c>
      <c r="E19" s="1267"/>
      <c r="F19" s="23"/>
      <c r="G19" s="1290"/>
      <c r="H19" s="926" t="s">
        <v>399</v>
      </c>
      <c r="I19" s="294" t="s">
        <v>725</v>
      </c>
      <c r="J19" s="21">
        <f ca="1">IF(K19="按租金收入计税",ROUND(J6*M19/(1+'数据-取费表'!C42),0),ROUND(C29*M19*0.7,0))</f>
        <v>0</v>
      </c>
      <c r="K19" s="1276" t="s">
        <v>3333</v>
      </c>
      <c r="L19" s="294" t="s">
        <v>710</v>
      </c>
      <c r="M19" s="314">
        <f>IF(K19="按租金收入计税",'数据-取费表'!B51,'数据-取费表'!B50)</f>
        <v>0.12</v>
      </c>
    </row>
    <row r="20" spans="1:37" s="1302" customFormat="1" ht="18" customHeight="1">
      <c r="A20" s="926" t="s">
        <v>402</v>
      </c>
      <c r="B20" s="294" t="s">
        <v>726</v>
      </c>
      <c r="C20" s="21">
        <f ca="1">ROUND(C19*F20,0)</f>
        <v>0</v>
      </c>
      <c r="D20" s="315" t="s">
        <v>727</v>
      </c>
      <c r="E20" s="294" t="s">
        <v>710</v>
      </c>
      <c r="F20" s="314">
        <f>'数据-取费表'!B37</f>
        <v>0.02</v>
      </c>
      <c r="G20" s="1301"/>
      <c r="H20" s="926" t="s">
        <v>678</v>
      </c>
      <c r="I20" s="147" t="s">
        <v>728</v>
      </c>
      <c r="J20" s="22">
        <f ca="1">ROUND(M20*M21,0)</f>
        <v>0</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0.02</v>
      </c>
      <c r="G21" s="1301"/>
      <c r="H21" s="318"/>
      <c r="I21" s="303"/>
      <c r="J21" s="26"/>
      <c r="K21" s="319"/>
      <c r="L21" s="294" t="s">
        <v>734</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ROUND(J14*M22,0)</f>
        <v>0</v>
      </c>
      <c r="K22" s="1254" t="s">
        <v>737</v>
      </c>
      <c r="L22" s="294" t="s">
        <v>710</v>
      </c>
      <c r="M22" s="320">
        <f ca="1">INDIRECT("'数据-取费表'!Ak"&amp;$G$1)</f>
        <v>0</v>
      </c>
    </row>
    <row r="23" spans="1:37" s="1302" customFormat="1" ht="18" customHeight="1">
      <c r="A23" s="926"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ROUND(J13*M23,0)</f>
        <v>0</v>
      </c>
      <c r="K23" s="1254" t="s">
        <v>741</v>
      </c>
      <c r="L23" s="294" t="s">
        <v>742</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ROUND(J5*M24,0)</f>
        <v>0</v>
      </c>
      <c r="K24" s="1027" t="s">
        <v>746</v>
      </c>
      <c r="L24" s="1025" t="s">
        <v>742</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747</v>
      </c>
      <c r="B25" s="294" t="s">
        <v>748</v>
      </c>
      <c r="C25" s="21"/>
      <c r="D25" s="123" t="s">
        <v>749</v>
      </c>
      <c r="E25" s="1267"/>
      <c r="F25" s="23"/>
      <c r="G25" s="1290"/>
      <c r="H25" s="1014" t="s">
        <v>394</v>
      </c>
      <c r="I25" s="1029" t="s">
        <v>750</v>
      </c>
      <c r="J25" s="302">
        <f ca="1">J5-J16</f>
        <v>0</v>
      </c>
      <c r="K25" s="1030" t="s">
        <v>751</v>
      </c>
      <c r="L25" s="1031"/>
      <c r="M25" s="1032"/>
    </row>
    <row r="26" spans="1:37" ht="18" customHeight="1">
      <c r="A26" s="926" t="s">
        <v>397</v>
      </c>
      <c r="B26" s="294" t="s">
        <v>752</v>
      </c>
      <c r="C26" s="21">
        <f ca="1">ROUND((C19+C20)*F26,0)</f>
        <v>0</v>
      </c>
      <c r="D26" s="315" t="s">
        <v>753</v>
      </c>
      <c r="E26" s="305" t="s">
        <v>754</v>
      </c>
      <c r="F26" s="304">
        <f ca="1">INDIRECT("'数据-取费表'!q"&amp;$G$1)</f>
        <v>0</v>
      </c>
      <c r="G26" s="1290"/>
      <c r="H26" s="291" t="s">
        <v>395</v>
      </c>
      <c r="I26" s="292" t="s">
        <v>755</v>
      </c>
      <c r="J26" s="293">
        <f ca="1">IF(J5&lt;&gt;0,ROUND(J25*(1-((1+M28)/(1+M26))^M27)/(M26-M28),0),0)</f>
        <v>0</v>
      </c>
      <c r="K26" s="316" t="s">
        <v>756</v>
      </c>
      <c r="L26" s="294" t="s">
        <v>757</v>
      </c>
      <c r="M26" s="304">
        <f ca="1">INDIRECT("'数据-取费表'!I"&amp;$G$1)</f>
        <v>0</v>
      </c>
    </row>
    <row r="27" spans="1:37" ht="18" customHeight="1">
      <c r="A27" s="926" t="s">
        <v>399</v>
      </c>
      <c r="B27" s="294" t="s">
        <v>758</v>
      </c>
      <c r="C27" s="21">
        <f ca="1">ROUND(F21*F26,4)</f>
        <v>0</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0</v>
      </c>
      <c r="D29" s="1027"/>
      <c r="E29" s="1025"/>
      <c r="F29" s="1028"/>
      <c r="G29" s="1301"/>
      <c r="H29" s="325" t="s">
        <v>396</v>
      </c>
      <c r="I29" s="326" t="s">
        <v>766</v>
      </c>
      <c r="J29" s="327">
        <f ca="1">ROUND(J26/(1+F40)^F41,0)</f>
        <v>0</v>
      </c>
      <c r="K29" s="328" t="s">
        <v>767</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0</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ROUND(IF(AND(项目基本情况!B11="自然人",项目基本情况!B10="北京市"),C6*F31/(1+'数据-取费表'!C42),C32+C33+C34),0)</f>
        <v>0</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IF(项目基本情况!B11="自然人","——",ROUND(C6*F32/(1+'数据-取费表'!C42),0))</f>
        <v>0</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IF(项目基本情况!B11="自然人","——",IF(D33="按租金收入计税",ROUND(C6*F33/(1+'数据-取费表'!C42),0),IF(D33="按房产原值计税",ROUND(C29*F33*0.7,0),INDIRECT("'数据-取费表'!Aj"&amp;$G$1))))</f>
        <v>0</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IF(项目基本情况!B11="自然人","——",ROUND(F34*F35,0))</f>
        <v>0</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0</v>
      </c>
      <c r="G35" s="1290"/>
      <c r="H35" s="2468"/>
      <c r="I35" s="1303"/>
      <c r="J35" s="1304"/>
      <c r="K35" s="2472"/>
      <c r="L35" s="2471"/>
      <c r="M35" s="2471"/>
    </row>
    <row r="36" spans="1:18" ht="18" customHeight="1">
      <c r="A36" s="1037" t="s">
        <v>402</v>
      </c>
      <c r="B36" s="294" t="s">
        <v>736</v>
      </c>
      <c r="C36" s="21">
        <f ca="1">ROUND(C29*F36,0)</f>
        <v>0</v>
      </c>
      <c r="D36" s="1254" t="s">
        <v>769</v>
      </c>
      <c r="E36" s="294" t="s">
        <v>710</v>
      </c>
      <c r="F36" s="320">
        <f ca="1">INDIRECT("'数据-取费表'!Ak"&amp;$G$1)</f>
        <v>0</v>
      </c>
      <c r="G36" s="1290"/>
      <c r="H36" s="2471"/>
      <c r="I36" s="1303"/>
      <c r="J36" s="1304"/>
      <c r="K36" s="2329"/>
      <c r="L36" s="2471"/>
      <c r="M36" s="2471"/>
    </row>
    <row r="37" spans="1:18" ht="18" customHeight="1">
      <c r="A37" s="926" t="s">
        <v>437</v>
      </c>
      <c r="B37" s="294" t="s">
        <v>740</v>
      </c>
      <c r="C37" s="21">
        <f ca="1">ROUND(C13*F37,0)</f>
        <v>0</v>
      </c>
      <c r="D37" s="1254" t="s">
        <v>741</v>
      </c>
      <c r="E37" s="294" t="s">
        <v>742</v>
      </c>
      <c r="F37" s="321">
        <f ca="1">INDIRECT("'数据-取费表'!Al"&amp;$G$1)</f>
        <v>0</v>
      </c>
      <c r="G37" s="1290"/>
      <c r="H37" s="2471"/>
      <c r="I37" s="1303"/>
      <c r="J37" s="1304"/>
      <c r="K37" s="2329"/>
      <c r="L37" s="2471"/>
      <c r="M37" s="2471"/>
    </row>
    <row r="38" spans="1:18" ht="18" customHeight="1" thickBot="1">
      <c r="A38" s="1024" t="s">
        <v>682</v>
      </c>
      <c r="B38" s="1025" t="s">
        <v>726</v>
      </c>
      <c r="C38" s="1026">
        <f ca="1">ROUND(C5*F38,0)</f>
        <v>0</v>
      </c>
      <c r="D38" s="1027" t="s">
        <v>746</v>
      </c>
      <c r="E38" s="1025" t="s">
        <v>742</v>
      </c>
      <c r="F38" s="1021">
        <f ca="1">INDIRECT("'数据-取费表'!Am"&amp;$G$1)</f>
        <v>0</v>
      </c>
      <c r="G38" s="1290"/>
      <c r="H38" s="2471"/>
      <c r="I38" s="1303"/>
      <c r="J38" s="1304"/>
      <c r="K38" s="2469"/>
      <c r="L38" s="2471"/>
      <c r="M38" s="2471"/>
    </row>
    <row r="39" spans="1:18" ht="24.6" customHeight="1" thickTop="1">
      <c r="A39" s="1014" t="s">
        <v>394</v>
      </c>
      <c r="B39" s="1029" t="s">
        <v>770</v>
      </c>
      <c r="C39" s="302">
        <f ca="1">C5-C30</f>
        <v>0</v>
      </c>
      <c r="D39" s="1030" t="s">
        <v>771</v>
      </c>
      <c r="E39" s="1031"/>
      <c r="F39" s="1032"/>
      <c r="G39" s="1290"/>
      <c r="H39" s="2471"/>
      <c r="I39" s="1303"/>
      <c r="J39" s="1304"/>
      <c r="K39" s="2469"/>
      <c r="L39" s="2471"/>
      <c r="M39" s="2471"/>
    </row>
    <row r="40" spans="1:18" ht="18" customHeight="1">
      <c r="A40" s="291" t="s">
        <v>395</v>
      </c>
      <c r="B40" s="292" t="s">
        <v>772</v>
      </c>
      <c r="C40" s="293" t="e">
        <f ca="1">ROUND(C39*(1-((1+F42)/(1+F40))^F41)/(F40-F42),0)</f>
        <v>#DIV/0!</v>
      </c>
      <c r="D40" s="316" t="s">
        <v>756</v>
      </c>
      <c r="E40" s="294" t="s">
        <v>757</v>
      </c>
      <c r="F40" s="304">
        <f ca="1">INDIRECT("'数据-取费表'!I"&amp;$G$1)</f>
        <v>0</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764</v>
      </c>
      <c r="F42" s="304">
        <f ca="1">INDIRECT("'数据-取费表'!v"&amp;$G$1)</f>
        <v>0</v>
      </c>
      <c r="G42" s="1290"/>
      <c r="H42" s="121"/>
      <c r="I42" s="1303"/>
      <c r="J42" s="1304"/>
      <c r="K42" s="2329"/>
      <c r="L42" s="121"/>
      <c r="M42" s="121"/>
    </row>
    <row r="43" spans="1:18" ht="18" customHeight="1" thickBot="1">
      <c r="A43" s="325" t="s">
        <v>396</v>
      </c>
      <c r="B43" s="326" t="s">
        <v>774</v>
      </c>
      <c r="C43" s="327" t="e">
        <f ca="1">ROUND(C40/F43,0)</f>
        <v>#DIV/0!</v>
      </c>
      <c r="D43" s="328" t="s">
        <v>775</v>
      </c>
      <c r="E43" s="329" t="s">
        <v>776</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t="e">
        <f ca="1">ROUND((C68-C40)/10000,4)</f>
        <v>#DIV/0!</v>
      </c>
      <c r="D45" s="3128" t="s">
        <v>3350</v>
      </c>
      <c r="E45" s="1305"/>
      <c r="F45" s="1305"/>
      <c r="O45" s="1308" t="s">
        <v>806</v>
      </c>
      <c r="P45" s="1364"/>
      <c r="Q45" s="1364"/>
      <c r="R45" s="1364"/>
    </row>
    <row r="46" spans="1:18" s="1290" customFormat="1" ht="13.8" thickBot="1">
      <c r="A46" s="1309" t="s">
        <v>807</v>
      </c>
      <c r="C46" s="1310" t="e">
        <f ca="1">ROUND(C45,0)</f>
        <v>#DIV/0!</v>
      </c>
      <c r="D46" s="1311" t="str">
        <f>C2</f>
        <v>万元</v>
      </c>
      <c r="I46" s="1312" t="s">
        <v>808</v>
      </c>
      <c r="J46" s="1313"/>
      <c r="K46" s="1314"/>
      <c r="L46" s="1315" t="e">
        <f ca="1">IF(M47="住宅",0,IF(L48&gt;J51,L60,J60))</f>
        <v>#DIV/0!</v>
      </c>
      <c r="O46" s="1316" t="s">
        <v>809</v>
      </c>
      <c r="P46" s="1317" t="s">
        <v>810</v>
      </c>
      <c r="Q46" s="1318" t="s">
        <v>811</v>
      </c>
      <c r="R46" s="1318" t="s">
        <v>812</v>
      </c>
    </row>
    <row r="47" spans="1:18" s="1290" customFormat="1" ht="13.8" thickBot="1">
      <c r="A47" s="890" t="s">
        <v>685</v>
      </c>
      <c r="B47" s="922" t="s">
        <v>686</v>
      </c>
      <c r="C47" s="922" t="s">
        <v>687</v>
      </c>
      <c r="D47" s="922" t="s">
        <v>688</v>
      </c>
      <c r="E47" s="993" t="s">
        <v>689</v>
      </c>
      <c r="F47" s="994"/>
      <c r="G47" s="679"/>
      <c r="I47" s="1319" t="s">
        <v>813</v>
      </c>
      <c r="J47" s="1320"/>
      <c r="K47" s="1321" t="s">
        <v>814</v>
      </c>
      <c r="L47" s="1322">
        <f ca="1">INDIRECT("'数据-取费表'!d"&amp;$G$1)</f>
        <v>0</v>
      </c>
      <c r="M47" s="1286" t="str">
        <f>IF(ISNUMBER(FIND("住宅",C1)),"住宅","非住宅")</f>
        <v>非住宅</v>
      </c>
      <c r="O47" s="1323" t="s">
        <v>403</v>
      </c>
      <c r="P47" s="1324" t="s">
        <v>815</v>
      </c>
      <c r="Q47" s="1325" t="e">
        <f ca="1">C40+J29</f>
        <v>#DIV/0!</v>
      </c>
      <c r="R47" s="1325" t="s">
        <v>816</v>
      </c>
    </row>
    <row r="48" spans="1:18" s="1290" customFormat="1" ht="40.200000000000003" thickBot="1">
      <c r="A48" s="1045" t="s">
        <v>438</v>
      </c>
      <c r="B48" s="292" t="s">
        <v>690</v>
      </c>
      <c r="C48" s="1266">
        <f ca="1">C49+C53+C55</f>
        <v>0</v>
      </c>
      <c r="D48" s="1047"/>
      <c r="E48" s="1048"/>
      <c r="F48" s="906"/>
      <c r="G48" s="679"/>
      <c r="H48" s="680"/>
      <c r="I48" s="1326" t="s">
        <v>817</v>
      </c>
      <c r="J48" s="1327"/>
      <c r="K48" s="1328" t="s">
        <v>818</v>
      </c>
      <c r="L48" s="1329">
        <f ca="1">INDIRECT("'数据-取费表'!f"&amp;$G$1)</f>
        <v>0</v>
      </c>
      <c r="O48" s="1323" t="s">
        <v>404</v>
      </c>
      <c r="P48" s="1324" t="s">
        <v>819</v>
      </c>
      <c r="Q48" s="1325" t="e">
        <f ca="1">J60</f>
        <v>#DIV/0!</v>
      </c>
      <c r="R48" s="1325" t="s">
        <v>820</v>
      </c>
    </row>
    <row r="49" spans="1:18" s="1290" customFormat="1" ht="13.8" thickBot="1">
      <c r="A49" s="919" t="s">
        <v>439</v>
      </c>
      <c r="B49" s="1277" t="s">
        <v>777</v>
      </c>
      <c r="C49" s="1049">
        <f ca="1">ROUND(F49*F51*F50*(1-F52),0)</f>
        <v>0</v>
      </c>
      <c r="D49" s="990" t="s">
        <v>693</v>
      </c>
      <c r="E49" s="1278" t="s">
        <v>778</v>
      </c>
      <c r="F49" s="995"/>
      <c r="H49" s="680"/>
      <c r="I49" s="1326" t="s">
        <v>821</v>
      </c>
      <c r="J49" s="1330"/>
      <c r="K49" s="1328" t="s">
        <v>822</v>
      </c>
      <c r="L49" s="1331"/>
      <c r="O49" s="1332" t="s">
        <v>405</v>
      </c>
      <c r="P49" s="1324" t="s">
        <v>823</v>
      </c>
      <c r="Q49" s="1325">
        <f ca="1">C29</f>
        <v>0</v>
      </c>
      <c r="R49" s="1325" t="s">
        <v>816</v>
      </c>
    </row>
    <row r="50" spans="1:18" s="1290" customFormat="1" ht="13.8" thickBot="1">
      <c r="A50" s="920"/>
      <c r="B50" s="923"/>
      <c r="C50" s="924"/>
      <c r="D50" s="897"/>
      <c r="E50" s="991" t="s">
        <v>695</v>
      </c>
      <c r="F50" s="992">
        <f ca="1">F7</f>
        <v>0</v>
      </c>
      <c r="H50" s="680"/>
      <c r="I50" s="1326" t="s">
        <v>824</v>
      </c>
      <c r="J50" s="1333">
        <f>SUMPRODUCT((I63:I65=J47)*(J62:L62=J48)*(J63:L65))</f>
        <v>0</v>
      </c>
      <c r="K50" s="1328" t="s">
        <v>825</v>
      </c>
      <c r="L50" s="1331"/>
      <c r="M50" s="1334"/>
      <c r="O50" s="1332" t="s">
        <v>406</v>
      </c>
      <c r="P50" s="1324" t="s">
        <v>826</v>
      </c>
      <c r="Q50" s="1335" t="e">
        <f ca="1">J58</f>
        <v>#DIV/0!</v>
      </c>
      <c r="R50" s="1325"/>
    </row>
    <row r="51" spans="1:18" s="1290" customFormat="1" ht="13.8" thickBot="1">
      <c r="A51" s="921"/>
      <c r="B51" s="923"/>
      <c r="C51" s="924"/>
      <c r="D51" s="897"/>
      <c r="E51" s="925" t="s">
        <v>696</v>
      </c>
      <c r="F51" s="295">
        <f ca="1">F8</f>
        <v>0</v>
      </c>
      <c r="I51" s="1336" t="s">
        <v>827</v>
      </c>
      <c r="J51" s="1329">
        <f>IF(J49="",J50,J49+J50-YEAR('数据-取费表'!B2))</f>
        <v>0</v>
      </c>
      <c r="K51" s="1337" t="s">
        <v>828</v>
      </c>
      <c r="L51" s="1338">
        <f ca="1">ROUND(-PV(INDIRECT("'数据-取费表'!h"&amp;$G$1),J51,(C39-C13*C76),0),0)</f>
        <v>0</v>
      </c>
      <c r="M51" s="1339"/>
      <c r="O51" s="1332" t="s">
        <v>407</v>
      </c>
      <c r="P51" s="1324" t="s">
        <v>829</v>
      </c>
      <c r="Q51" s="1335">
        <f>J52</f>
        <v>0</v>
      </c>
      <c r="R51" s="1325"/>
    </row>
    <row r="52" spans="1:18" s="1290" customFormat="1" ht="13.8" thickBot="1">
      <c r="A52" s="921"/>
      <c r="B52" s="923"/>
      <c r="C52" s="924"/>
      <c r="D52" s="897"/>
      <c r="E52" s="925" t="s">
        <v>697</v>
      </c>
      <c r="F52" s="989"/>
      <c r="I52" s="1340" t="s">
        <v>830</v>
      </c>
      <c r="J52" s="1341"/>
      <c r="K52" s="1340" t="s">
        <v>831</v>
      </c>
      <c r="L52" s="1341"/>
      <c r="O52" s="1332" t="s">
        <v>408</v>
      </c>
      <c r="P52" s="1324" t="s">
        <v>832</v>
      </c>
      <c r="Q52" s="1325">
        <f ca="1">J53</f>
        <v>0</v>
      </c>
      <c r="R52" s="1325" t="s">
        <v>833</v>
      </c>
    </row>
    <row r="53" spans="1:18" s="1290" customFormat="1" ht="30.75" customHeight="1" thickBot="1">
      <c r="A53" s="1046" t="s">
        <v>440</v>
      </c>
      <c r="B53" s="315" t="s">
        <v>698</v>
      </c>
      <c r="C53" s="308">
        <f ca="1">ROUND(IF(F53="押一",C49/12*F11,IF(F53="押二",C49/12*2*F11,IF(F53="押三",C49/12*3*F11,C54*F11))),0)</f>
        <v>0</v>
      </c>
      <c r="D53" s="150" t="s">
        <v>2116</v>
      </c>
      <c r="E53" s="305" t="s">
        <v>699</v>
      </c>
      <c r="F53" s="1051"/>
      <c r="I53" s="1342" t="s">
        <v>834</v>
      </c>
      <c r="J53" s="2004">
        <f ca="1">IF(M47="住宅",IF(D1="——",MAX(J51,L48),MAX(J51,L48-'数据-取费表'!B24)),IF(D1="——",MIN(J51,L48),MIN(J51,L48-'数据-取费表'!B24)))</f>
        <v>0</v>
      </c>
      <c r="K53" s="3411" t="s">
        <v>835</v>
      </c>
      <c r="L53" s="3412"/>
      <c r="O53" s="1323" t="s">
        <v>409</v>
      </c>
      <c r="P53" s="1324" t="s">
        <v>836</v>
      </c>
      <c r="Q53" s="1325" t="e">
        <f ca="1">Q47+Q48</f>
        <v>#DIV/0!</v>
      </c>
      <c r="R53" s="1325" t="s">
        <v>410</v>
      </c>
    </row>
    <row r="54" spans="1:18" s="1290" customFormat="1" ht="13.8" thickBot="1">
      <c r="A54" s="919"/>
      <c r="B54" s="1375" t="s">
        <v>889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t="e">
        <f ca="1">ROUND(IF(J47="钢混",J57/J50,1-(1-2%)*(J50-J57)/J50),3)</f>
        <v>#DIV/0!</v>
      </c>
      <c r="K55" s="1348" t="s">
        <v>839</v>
      </c>
      <c r="L55" s="1349"/>
      <c r="O55" s="1316" t="s">
        <v>809</v>
      </c>
      <c r="P55" s="1317" t="s">
        <v>810</v>
      </c>
      <c r="Q55" s="1318" t="s">
        <v>811</v>
      </c>
      <c r="R55" s="1318" t="s">
        <v>812</v>
      </c>
    </row>
    <row r="56" spans="1:18" s="1290" customFormat="1" ht="36" customHeight="1" thickTop="1" thickBot="1">
      <c r="A56" s="901">
        <v>2</v>
      </c>
      <c r="B56" s="902" t="s">
        <v>702</v>
      </c>
      <c r="C56" s="224">
        <f ca="1">C13</f>
        <v>0</v>
      </c>
      <c r="D56" s="1350"/>
      <c r="E56" s="1351"/>
      <c r="F56" s="1343"/>
      <c r="I56" s="1352" t="s">
        <v>840</v>
      </c>
      <c r="J56" s="1353"/>
      <c r="K56" s="1326" t="s">
        <v>841</v>
      </c>
      <c r="L56" s="1329">
        <f ca="1">IF(L48&lt;J51,"——",L48-J51)</f>
        <v>0</v>
      </c>
      <c r="O56" s="1323" t="s">
        <v>403</v>
      </c>
      <c r="P56" s="1324" t="s">
        <v>815</v>
      </c>
      <c r="Q56" s="1325" t="e">
        <f ca="1">C40+J29</f>
        <v>#DIV/0!</v>
      </c>
      <c r="R56" s="1325" t="s">
        <v>816</v>
      </c>
    </row>
    <row r="57" spans="1:18" s="1290" customFormat="1" ht="24.6" thickBot="1">
      <c r="A57" s="1354"/>
      <c r="B57" s="894" t="s">
        <v>765</v>
      </c>
      <c r="C57" s="230">
        <f ca="1">C29</f>
        <v>0</v>
      </c>
      <c r="D57" s="1355"/>
      <c r="E57" s="1356"/>
      <c r="F57" s="1357"/>
      <c r="I57" s="1358" t="s">
        <v>842</v>
      </c>
      <c r="J57" s="1359">
        <f ca="1">IF(OR(M47="住宅",J51&lt;L48,J56="是"),"——",J51-L48)</f>
        <v>0</v>
      </c>
      <c r="K57" s="1326" t="s">
        <v>890</v>
      </c>
      <c r="L57" s="1329">
        <f ca="1">IF(L48&lt;J51,"——",IF(L55="比较法",L49,IF(L55="基准地价",L50,L51)))</f>
        <v>0</v>
      </c>
      <c r="O57" s="1323" t="s">
        <v>404</v>
      </c>
      <c r="P57" s="1324" t="s">
        <v>891</v>
      </c>
      <c r="Q57" s="1325" t="e">
        <f ca="1">L60</f>
        <v>#DIV/0!</v>
      </c>
      <c r="R57" s="1325" t="s">
        <v>892</v>
      </c>
    </row>
    <row r="58" spans="1:18" s="1290" customFormat="1" ht="24.6" thickBot="1">
      <c r="A58" s="307" t="s">
        <v>393</v>
      </c>
      <c r="B58" s="902" t="s">
        <v>712</v>
      </c>
      <c r="C58" s="308">
        <f ca="1">ROUND(C59+C64+C65+C66,0)</f>
        <v>0</v>
      </c>
      <c r="D58" s="904" t="s">
        <v>713</v>
      </c>
      <c r="E58" s="905"/>
      <c r="F58" s="906"/>
      <c r="I58" s="1358" t="s">
        <v>846</v>
      </c>
      <c r="J58" s="1360" t="e">
        <f ca="1">IF(J55&lt;0.4,0.4,J55)</f>
        <v>#DIV/0!</v>
      </c>
      <c r="K58" s="1337" t="s">
        <v>893</v>
      </c>
      <c r="L58" s="1329" t="e">
        <f ca="1">ROUND(POWER(1+L52,L47-L48)*(POWER(1+L52,L48)-1)/(POWER(1+L52,L47)-1),4)</f>
        <v>#DIV/0!</v>
      </c>
      <c r="O58" s="1332" t="s">
        <v>405</v>
      </c>
      <c r="P58" s="1324" t="s">
        <v>848</v>
      </c>
      <c r="Q58" s="1325">
        <f>IF(L55="比较法",L49,IF(L55="基准地价",L50,0))</f>
        <v>0</v>
      </c>
      <c r="R58" s="1325" t="s">
        <v>816</v>
      </c>
    </row>
    <row r="59" spans="1:18" s="1290" customFormat="1" ht="24.6" thickBot="1">
      <c r="A59" s="926" t="s">
        <v>398</v>
      </c>
      <c r="B59" s="894" t="s">
        <v>717</v>
      </c>
      <c r="C59" s="2138">
        <f ca="1">ROUND(IF(AND(项目基本情况!B11="自然人",项目基本情况!B10="北京市"),C49*F59/(1+'数据-取费表'!C42),C60+C61+C62),0)</f>
        <v>0</v>
      </c>
      <c r="D59" s="907" t="s">
        <v>718</v>
      </c>
      <c r="E59" s="908" t="s">
        <v>719</v>
      </c>
      <c r="F59" s="2137" t="str">
        <f>IF(项目基本情况!B11="企业","——",IF('数据-取费表'!B10="住宅",IF(F49*F50*F51/12/(1+'数据-取费表'!F30)&gt;100000,4%,2.5%),IF(F49*F50*F51/12/(1+'数据-取费表'!F30)&gt;100000,12%,7%)))</f>
        <v>——</v>
      </c>
      <c r="I59" s="1358" t="s">
        <v>849</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850</v>
      </c>
      <c r="Q59" s="1335">
        <f>L52</f>
        <v>0</v>
      </c>
      <c r="R59" s="1325"/>
    </row>
    <row r="60" spans="1:18" s="1290" customFormat="1" ht="16.2" thickBot="1">
      <c r="A60" s="926" t="s">
        <v>397</v>
      </c>
      <c r="B60" s="894" t="s">
        <v>721</v>
      </c>
      <c r="C60" s="21">
        <f ca="1">IF(项目基本情况!B11="自然人","——",ROUND(C48*F60/(1+'数据-取费表'!C42),0))</f>
        <v>0</v>
      </c>
      <c r="D60" s="908" t="s">
        <v>722</v>
      </c>
      <c r="E60" s="894" t="s">
        <v>710</v>
      </c>
      <c r="F60" s="322">
        <f t="shared" ref="F60:F66" si="0">F32</f>
        <v>5.5000000000000007E-2</v>
      </c>
      <c r="I60" s="1361" t="s">
        <v>851</v>
      </c>
      <c r="J60" s="1362" t="e">
        <f ca="1">IF(OR(M47="住宅",J51&lt;L48,J56="是"),"0",ROUND(J59/(1+J52)^J53,0))</f>
        <v>#DIV/0!</v>
      </c>
      <c r="K60" s="1363" t="s">
        <v>852</v>
      </c>
      <c r="L60" s="1362" t="e">
        <f ca="1">IF(OR(M47="住宅",L48&lt;J51),0,ROUND(L57*(L58/L59-1),0))</f>
        <v>#DIV/0!</v>
      </c>
      <c r="O60" s="1332" t="s">
        <v>407</v>
      </c>
      <c r="P60" s="1324" t="s">
        <v>853</v>
      </c>
      <c r="Q60" s="1325" t="e">
        <f ca="1">L58</f>
        <v>#DIV/0!</v>
      </c>
      <c r="R60" s="1325" t="s">
        <v>854</v>
      </c>
    </row>
    <row r="61" spans="1:18" s="1290" customFormat="1" ht="13.8" thickBot="1">
      <c r="A61" s="926" t="s">
        <v>779</v>
      </c>
      <c r="B61" s="894" t="s">
        <v>780</v>
      </c>
      <c r="C61" s="21">
        <f ca="1">IF(项目基本情况!B11="自然人","——",IF(D61="按租金收入计税",ROUND(C49*F61/(1+'数据-取费表'!C42),0),IF(D61="按房产原值计税",ROUND(C57*F61*0.7,0),INDIRECT("'数据-取费表'!Aj"&amp;$G$1))))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8" thickBot="1">
      <c r="A62" s="926" t="s">
        <v>782</v>
      </c>
      <c r="B62" s="893" t="s">
        <v>783</v>
      </c>
      <c r="C62" s="22">
        <f ca="1">IF(项目基本情况!B11="自然人","——",ROUND(F62*F63,0))</f>
        <v>0</v>
      </c>
      <c r="D62" s="909" t="s">
        <v>784</v>
      </c>
      <c r="E62" s="894" t="s">
        <v>785</v>
      </c>
      <c r="F62" s="317">
        <f t="shared" si="0"/>
        <v>1.5</v>
      </c>
      <c r="I62" s="1365" t="s">
        <v>856</v>
      </c>
      <c r="J62" s="610" t="s">
        <v>857</v>
      </c>
      <c r="K62" s="610" t="s">
        <v>858</v>
      </c>
      <c r="L62" s="610" t="s">
        <v>859</v>
      </c>
      <c r="M62" s="1366" t="s">
        <v>860</v>
      </c>
      <c r="O62" s="1323" t="s">
        <v>409</v>
      </c>
      <c r="P62" s="1324" t="s">
        <v>861</v>
      </c>
      <c r="Q62" s="1325" t="e">
        <f ca="1">Q56+Q57</f>
        <v>#DIV/0!</v>
      </c>
      <c r="R62" s="1325" t="s">
        <v>410</v>
      </c>
    </row>
    <row r="63" spans="1:18" s="1290" customFormat="1" ht="13.8" thickBot="1">
      <c r="A63" s="318"/>
      <c r="B63" s="900"/>
      <c r="C63" s="26"/>
      <c r="D63" s="910"/>
      <c r="E63" s="894" t="s">
        <v>786</v>
      </c>
      <c r="F63" s="295">
        <f t="shared" ca="1" si="0"/>
        <v>0</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f ca="1">ROUND(C57*F64,0)</f>
        <v>0</v>
      </c>
      <c r="D64" s="908" t="s">
        <v>789</v>
      </c>
      <c r="E64" s="894" t="s">
        <v>781</v>
      </c>
      <c r="F64" s="320">
        <f t="shared" ca="1" si="0"/>
        <v>0</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f ca="1">ROUND(C56*F65,0)</f>
        <v>0</v>
      </c>
      <c r="D65" s="908" t="s">
        <v>741</v>
      </c>
      <c r="E65" s="894" t="s">
        <v>742</v>
      </c>
      <c r="F65" s="321">
        <f t="shared" ca="1" si="0"/>
        <v>0</v>
      </c>
      <c r="I65" s="1365" t="s">
        <v>865</v>
      </c>
      <c r="J65" s="610">
        <v>40</v>
      </c>
      <c r="K65" s="610">
        <v>30</v>
      </c>
      <c r="L65" s="610">
        <v>50</v>
      </c>
      <c r="M65" s="1367">
        <v>0.02</v>
      </c>
      <c r="O65" s="1323" t="s">
        <v>403</v>
      </c>
      <c r="P65" s="1324" t="s">
        <v>866</v>
      </c>
      <c r="Q65" s="1325" t="e">
        <f ca="1">C40+J29</f>
        <v>#DIV/0!</v>
      </c>
      <c r="R65" s="1325" t="s">
        <v>816</v>
      </c>
    </row>
    <row r="66" spans="1:18" s="1290" customFormat="1" ht="16.2" thickBot="1">
      <c r="A66" s="926" t="s">
        <v>791</v>
      </c>
      <c r="B66" s="894" t="s">
        <v>726</v>
      </c>
      <c r="C66" s="21">
        <f ca="1">ROUND(C48*F66,0)</f>
        <v>0</v>
      </c>
      <c r="D66" s="908" t="s">
        <v>792</v>
      </c>
      <c r="E66" s="894" t="s">
        <v>710</v>
      </c>
      <c r="F66" s="304">
        <f t="shared" ca="1" si="0"/>
        <v>0</v>
      </c>
      <c r="O66" s="1323" t="s">
        <v>404</v>
      </c>
      <c r="P66" s="1324" t="s">
        <v>844</v>
      </c>
      <c r="Q66" s="1325" t="e">
        <f ca="1">L60</f>
        <v>#DIV/0!</v>
      </c>
      <c r="R66" s="1325" t="s">
        <v>867</v>
      </c>
    </row>
    <row r="67" spans="1:18" s="1290" customFormat="1" ht="24.6" thickBot="1">
      <c r="A67" s="901" t="s">
        <v>394</v>
      </c>
      <c r="B67" s="911" t="s">
        <v>750</v>
      </c>
      <c r="C67" s="308">
        <f ca="1">C48-C58</f>
        <v>0</v>
      </c>
      <c r="D67" s="907" t="s">
        <v>751</v>
      </c>
      <c r="E67" s="912"/>
      <c r="F67" s="913"/>
      <c r="O67" s="1332" t="s">
        <v>405</v>
      </c>
      <c r="P67" s="1324" t="s">
        <v>848</v>
      </c>
      <c r="Q67" s="1368">
        <f ca="1">L51</f>
        <v>0</v>
      </c>
      <c r="R67" s="1325" t="s">
        <v>868</v>
      </c>
    </row>
    <row r="68" spans="1:18" s="1290" customFormat="1" ht="16.2" thickBot="1">
      <c r="A68" s="891" t="s">
        <v>395</v>
      </c>
      <c r="B68" s="892" t="s">
        <v>772</v>
      </c>
      <c r="C68" s="293" t="e">
        <f ca="1">ROUND(C67*(1-((1+F70)/(1+F68))^F69)/(F68-F70),0)</f>
        <v>#DIV/0!</v>
      </c>
      <c r="D68" s="909" t="s">
        <v>756</v>
      </c>
      <c r="E68" s="894" t="s">
        <v>757</v>
      </c>
      <c r="F68" s="304">
        <f ca="1">F40</f>
        <v>0</v>
      </c>
      <c r="O68" s="1332" t="s">
        <v>406</v>
      </c>
      <c r="P68" s="1369" t="s">
        <v>869</v>
      </c>
      <c r="Q68" s="1325">
        <f ca="1">ROUND(Q69-Q70*Q71,0)</f>
        <v>0</v>
      </c>
      <c r="R68" s="1325" t="s">
        <v>414</v>
      </c>
    </row>
    <row r="69" spans="1:18" s="1290" customFormat="1" ht="13.8" thickBot="1">
      <c r="A69" s="895"/>
      <c r="B69" s="896"/>
      <c r="C69" s="298"/>
      <c r="D69" s="914" t="s">
        <v>760</v>
      </c>
      <c r="E69" s="894" t="s">
        <v>761</v>
      </c>
      <c r="F69" s="324">
        <f ca="1">F41</f>
        <v>0</v>
      </c>
      <c r="O69" s="1332" t="s">
        <v>411</v>
      </c>
      <c r="P69" s="1369" t="s">
        <v>870</v>
      </c>
      <c r="Q69" s="1325">
        <f ca="1">C39</f>
        <v>0</v>
      </c>
      <c r="R69" s="1325" t="s">
        <v>816</v>
      </c>
    </row>
    <row r="70" spans="1:18" s="1290" customFormat="1" ht="13.8" thickBot="1">
      <c r="A70" s="898"/>
      <c r="B70" s="899"/>
      <c r="C70" s="302"/>
      <c r="D70" s="910"/>
      <c r="E70" s="894" t="s">
        <v>764</v>
      </c>
      <c r="F70" s="989"/>
      <c r="O70" s="1332" t="s">
        <v>412</v>
      </c>
      <c r="P70" s="1369" t="s">
        <v>871</v>
      </c>
      <c r="Q70" s="1325">
        <f ca="1">C13</f>
        <v>0</v>
      </c>
      <c r="R70" s="1325" t="s">
        <v>816</v>
      </c>
    </row>
    <row r="71" spans="1:18" s="1290" customFormat="1" ht="13.8" thickBot="1">
      <c r="A71" s="915" t="s">
        <v>396</v>
      </c>
      <c r="B71" s="916" t="s">
        <v>774</v>
      </c>
      <c r="C71" s="327" t="e">
        <f ca="1">ROUND(C68/F71,0)</f>
        <v>#DIV/0!</v>
      </c>
      <c r="D71" s="917" t="s">
        <v>775</v>
      </c>
      <c r="E71" s="918" t="s">
        <v>776</v>
      </c>
      <c r="F71" s="330">
        <f ca="1">F43</f>
        <v>0</v>
      </c>
      <c r="O71" s="1332" t="s">
        <v>413</v>
      </c>
      <c r="P71" s="1369" t="s">
        <v>872</v>
      </c>
      <c r="Q71" s="1335">
        <f ca="1">C76</f>
        <v>0</v>
      </c>
      <c r="R71" s="1325"/>
    </row>
    <row r="72" spans="1:18" s="1290" customFormat="1" ht="13.8" thickBot="1">
      <c r="B72" s="683"/>
      <c r="C72" s="683"/>
      <c r="O72" s="1332" t="s">
        <v>407</v>
      </c>
      <c r="P72" s="1324" t="s">
        <v>850</v>
      </c>
      <c r="Q72" s="1335">
        <f>L52</f>
        <v>0</v>
      </c>
      <c r="R72" s="1325"/>
    </row>
    <row r="73" spans="1:18" ht="16.2" thickBot="1">
      <c r="A73" s="1290"/>
      <c r="B73" s="683"/>
      <c r="C73" s="683"/>
      <c r="D73" s="1290"/>
      <c r="E73" s="1290"/>
      <c r="F73" s="1290"/>
      <c r="O73" s="1332" t="s">
        <v>408</v>
      </c>
      <c r="P73" s="1324" t="s">
        <v>853</v>
      </c>
      <c r="Q73" s="1325" t="e">
        <f ca="1">L58</f>
        <v>#DIV/0!</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8" thickBot="1">
      <c r="A75" s="1290"/>
      <c r="B75" s="331" t="s">
        <v>793</v>
      </c>
      <c r="C75" s="332">
        <f ca="1">ROUND(C13*C76,0)</f>
        <v>0</v>
      </c>
      <c r="D75" s="1290"/>
      <c r="E75" s="1290"/>
      <c r="F75" s="1290"/>
      <c r="K75" s="1307"/>
      <c r="L75" s="1290"/>
      <c r="O75" s="1323" t="s">
        <v>409</v>
      </c>
      <c r="P75" s="1324" t="s">
        <v>836</v>
      </c>
      <c r="Q75" s="1325" t="e">
        <f ca="1">Q65+Q66</f>
        <v>#DIV/0!</v>
      </c>
      <c r="R75" s="1325" t="s">
        <v>410</v>
      </c>
    </row>
    <row r="76" spans="1:18">
      <c r="B76" s="333" t="s">
        <v>794</v>
      </c>
      <c r="C76" s="334">
        <f ca="1">INDIRECT("'数据-取费表'!j"&amp;$G$1)</f>
        <v>0</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2" customHeight="1">
      <c r="A2" s="1291" t="s">
        <v>2312</v>
      </c>
      <c r="B2" s="2592" t="e">
        <f>IF(D2="——",C40,C40+E2)</f>
        <v>#DIV/0!</v>
      </c>
      <c r="C2" s="2593" t="s">
        <v>2313</v>
      </c>
      <c r="D2" s="3136" t="s">
        <v>3356</v>
      </c>
      <c r="E2" s="3137"/>
      <c r="F2" s="2595"/>
      <c r="G2" s="2596"/>
      <c r="H2" s="2597"/>
      <c r="I2" s="2598"/>
      <c r="J2" s="3422" t="s">
        <v>2314</v>
      </c>
      <c r="K2" s="3423"/>
      <c r="L2" s="2599" t="s">
        <v>2315</v>
      </c>
      <c r="M2" s="2599" t="s">
        <v>2316</v>
      </c>
      <c r="N2" s="2599" t="s">
        <v>2317</v>
      </c>
      <c r="O2" s="2599" t="s">
        <v>2318</v>
      </c>
      <c r="P2" s="2599" t="s">
        <v>2319</v>
      </c>
      <c r="Q2" s="2600" t="s">
        <v>2320</v>
      </c>
      <c r="R2" s="2601" t="s">
        <v>2321</v>
      </c>
      <c r="S2" s="2590"/>
      <c r="T2" s="2590"/>
      <c r="U2" s="2590"/>
      <c r="V2" s="2598"/>
    </row>
    <row r="3" spans="1:22" s="2602" customFormat="1" ht="13.2" customHeight="1">
      <c r="A3" s="2603" t="s">
        <v>2322</v>
      </c>
      <c r="B3" s="2604" t="e">
        <f>ROUND(B2*10000/B4,0)</f>
        <v>#DIV/0!</v>
      </c>
      <c r="C3" s="2593" t="s">
        <v>2323</v>
      </c>
      <c r="D3" s="2593"/>
      <c r="E3" s="2594"/>
      <c r="F3" s="2595"/>
      <c r="G3" s="2596"/>
      <c r="H3" s="2597"/>
      <c r="I3" s="2598"/>
      <c r="J3" s="3424" t="s">
        <v>2324</v>
      </c>
      <c r="K3" s="3425"/>
      <c r="L3" s="2605"/>
      <c r="M3" s="2605"/>
      <c r="N3" s="2605"/>
      <c r="O3" s="2605"/>
      <c r="P3" s="2605"/>
      <c r="Q3" s="2606"/>
      <c r="R3" s="2607">
        <f>SUM(L3:Q3)</f>
        <v>0</v>
      </c>
      <c r="S3" s="2590"/>
      <c r="T3" s="2590"/>
      <c r="U3" s="2590"/>
      <c r="V3" s="2598"/>
    </row>
    <row r="4" spans="1:22" s="2602" customFormat="1" ht="13.2" customHeight="1">
      <c r="A4" s="2608" t="s">
        <v>2325</v>
      </c>
      <c r="B4" s="2609"/>
      <c r="C4" s="2593"/>
      <c r="D4" s="2593"/>
      <c r="E4" s="2594"/>
      <c r="F4" s="2595"/>
      <c r="G4" s="2596"/>
      <c r="H4" s="2597"/>
      <c r="I4" s="2598"/>
      <c r="J4" s="3424" t="s">
        <v>2326</v>
      </c>
      <c r="K4" s="3425"/>
      <c r="L4" s="2610"/>
      <c r="M4" s="2610"/>
      <c r="N4" s="2610"/>
      <c r="O4" s="2610"/>
      <c r="P4" s="2610"/>
      <c r="Q4" s="2611"/>
      <c r="R4" s="2612">
        <f>SUM(L4:Q4)</f>
        <v>0</v>
      </c>
      <c r="S4" s="2590"/>
      <c r="T4" s="2590"/>
      <c r="U4" s="2590"/>
      <c r="V4" s="2598"/>
    </row>
    <row r="5" spans="1:22" s="2602" customFormat="1" ht="13.2"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2" customHeight="1" thickBot="1">
      <c r="A6" s="3430" t="s">
        <v>2330</v>
      </c>
      <c r="B6" s="3431"/>
      <c r="C6" s="3432"/>
      <c r="D6" s="2619"/>
      <c r="E6" s="2620"/>
      <c r="F6" s="2621"/>
      <c r="G6" s="2622"/>
      <c r="H6" s="2597"/>
      <c r="I6" s="2598"/>
      <c r="J6" s="3416">
        <v>1</v>
      </c>
      <c r="K6" s="3417"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2" customHeight="1">
      <c r="A7" s="2625" t="s">
        <v>2340</v>
      </c>
      <c r="B7" s="2626"/>
      <c r="C7" s="2627"/>
      <c r="D7" s="2628">
        <f>SUM(D9,D10,D11,D17,0)</f>
        <v>0</v>
      </c>
      <c r="E7" s="2629" t="e">
        <f>E9+E10+E11+E17</f>
        <v>#DIV/0!</v>
      </c>
      <c r="F7" s="2630"/>
      <c r="G7" s="2631"/>
      <c r="H7" s="2597"/>
      <c r="I7" s="2598"/>
      <c r="J7" s="3416"/>
      <c r="K7" s="3418"/>
      <c r="L7" s="2632" t="s">
        <v>2341</v>
      </c>
      <c r="M7" s="2633"/>
      <c r="N7" s="2609"/>
      <c r="O7" s="2634"/>
      <c r="P7" s="2634"/>
      <c r="Q7" s="2635">
        <v>365</v>
      </c>
      <c r="R7" s="2636">
        <f>ROUND(M7*N7*O7*P7*Q7/10000,0)</f>
        <v>0</v>
      </c>
      <c r="S7" s="2590"/>
      <c r="T7" s="2590" t="s">
        <v>2342</v>
      </c>
      <c r="U7" s="2590"/>
      <c r="V7" s="2598"/>
    </row>
    <row r="8" spans="1:22" s="2602" customFormat="1" ht="13.2" customHeight="1">
      <c r="A8" s="2637" t="s">
        <v>2343</v>
      </c>
      <c r="B8" s="3433" t="s">
        <v>2344</v>
      </c>
      <c r="C8" s="3434"/>
      <c r="D8" s="2638" t="s">
        <v>2345</v>
      </c>
      <c r="E8" s="2639" t="s">
        <v>2346</v>
      </c>
      <c r="F8" s="2640" t="s">
        <v>2347</v>
      </c>
      <c r="G8" s="2641"/>
      <c r="H8" s="2597"/>
      <c r="I8" s="2598"/>
      <c r="J8" s="3416"/>
      <c r="K8" s="3418"/>
      <c r="L8" s="2632" t="s">
        <v>2348</v>
      </c>
      <c r="M8" s="2633"/>
      <c r="N8" s="2609"/>
      <c r="O8" s="2634"/>
      <c r="P8" s="2634"/>
      <c r="Q8" s="2635">
        <v>365</v>
      </c>
      <c r="R8" s="2636">
        <f t="shared" ref="R8:R13" si="0">ROUND(M8*N8*O8*P8*Q8/10000,0)</f>
        <v>0</v>
      </c>
      <c r="S8" s="2590"/>
      <c r="T8" s="2590" t="s">
        <v>2349</v>
      </c>
      <c r="U8" s="2590"/>
      <c r="V8" s="2598"/>
    </row>
    <row r="9" spans="1:22" s="2602" customFormat="1" ht="13.2" customHeight="1">
      <c r="A9" s="2637">
        <v>1</v>
      </c>
      <c r="B9" s="3433" t="s">
        <v>2350</v>
      </c>
      <c r="C9" s="3434"/>
      <c r="D9" s="2638">
        <f>ROUND(D6*E9,0)</f>
        <v>0</v>
      </c>
      <c r="E9" s="2642"/>
      <c r="F9" s="2643" t="s">
        <v>2351</v>
      </c>
      <c r="G9" s="2622"/>
      <c r="H9" s="2597"/>
      <c r="I9" s="2598"/>
      <c r="J9" s="3416"/>
      <c r="K9" s="3418"/>
      <c r="L9" s="2632" t="s">
        <v>2352</v>
      </c>
      <c r="M9" s="2633"/>
      <c r="N9" s="2609"/>
      <c r="O9" s="2634"/>
      <c r="P9" s="2634"/>
      <c r="Q9" s="2635">
        <v>365</v>
      </c>
      <c r="R9" s="2636">
        <f t="shared" si="0"/>
        <v>0</v>
      </c>
      <c r="S9" s="2590"/>
      <c r="T9" s="2590"/>
      <c r="U9" s="2590"/>
      <c r="V9" s="2598"/>
    </row>
    <row r="10" spans="1:22" s="2602" customFormat="1" ht="13.2" customHeight="1">
      <c r="A10" s="2637">
        <v>2</v>
      </c>
      <c r="B10" s="3433" t="s">
        <v>2353</v>
      </c>
      <c r="C10" s="3434"/>
      <c r="D10" s="2638">
        <f>ROUND(D6*E10,0)</f>
        <v>0</v>
      </c>
      <c r="E10" s="2642"/>
      <c r="F10" s="2643" t="s">
        <v>2354</v>
      </c>
      <c r="G10" s="2622"/>
      <c r="H10" s="2597"/>
      <c r="I10" s="2598"/>
      <c r="J10" s="3416"/>
      <c r="K10" s="3418"/>
      <c r="L10" s="2632" t="s">
        <v>2355</v>
      </c>
      <c r="M10" s="2633"/>
      <c r="N10" s="2609"/>
      <c r="O10" s="2634"/>
      <c r="P10" s="2634"/>
      <c r="Q10" s="2635">
        <v>365</v>
      </c>
      <c r="R10" s="2636">
        <f t="shared" si="0"/>
        <v>0</v>
      </c>
      <c r="S10" s="2590"/>
      <c r="T10" s="2590"/>
      <c r="U10" s="2590"/>
      <c r="V10" s="2598"/>
    </row>
    <row r="11" spans="1:22" s="2602" customFormat="1" ht="13.2" customHeight="1">
      <c r="A11" s="2637">
        <v>3</v>
      </c>
      <c r="B11" s="3433" t="s">
        <v>2356</v>
      </c>
      <c r="C11" s="3434"/>
      <c r="D11" s="2638">
        <f>D12+D14+D15+D16</f>
        <v>0</v>
      </c>
      <c r="E11" s="2644" t="e">
        <f>D11/D6</f>
        <v>#DIV/0!</v>
      </c>
      <c r="F11" s="2640"/>
      <c r="G11" s="2641"/>
      <c r="H11" s="2597"/>
      <c r="I11" s="2598"/>
      <c r="J11" s="3416"/>
      <c r="K11" s="3418"/>
      <c r="L11" s="2632" t="s">
        <v>2357</v>
      </c>
      <c r="M11" s="2633"/>
      <c r="N11" s="2609"/>
      <c r="O11" s="2634"/>
      <c r="P11" s="2634"/>
      <c r="Q11" s="2635">
        <v>365</v>
      </c>
      <c r="R11" s="2636">
        <f t="shared" si="0"/>
        <v>0</v>
      </c>
      <c r="S11" s="2590"/>
      <c r="T11" s="2590"/>
      <c r="U11" s="2590"/>
      <c r="V11" s="2598"/>
    </row>
    <row r="12" spans="1:22" s="2602" customFormat="1" ht="13.2" customHeight="1">
      <c r="A12" s="2645" t="s">
        <v>2358</v>
      </c>
      <c r="B12" s="3426" t="s">
        <v>2359</v>
      </c>
      <c r="C12" s="3427"/>
      <c r="D12" s="2646">
        <f>ROUND(D13*1.2%*(1-30%),0)</f>
        <v>0</v>
      </c>
      <c r="E12" s="2647">
        <v>1.2E-2</v>
      </c>
      <c r="F12" s="2640" t="s">
        <v>2360</v>
      </c>
      <c r="G12" s="2641"/>
      <c r="H12" s="2597"/>
      <c r="I12" s="2598"/>
      <c r="J12" s="3416"/>
      <c r="K12" s="3418"/>
      <c r="L12" s="2632" t="s">
        <v>2361</v>
      </c>
      <c r="M12" s="2633"/>
      <c r="N12" s="2609"/>
      <c r="O12" s="2634"/>
      <c r="P12" s="2634"/>
      <c r="Q12" s="2635">
        <v>365</v>
      </c>
      <c r="R12" s="2636">
        <f t="shared" si="0"/>
        <v>0</v>
      </c>
      <c r="S12" s="2590"/>
      <c r="T12" s="2590"/>
      <c r="U12" s="2590"/>
      <c r="V12" s="2598"/>
    </row>
    <row r="13" spans="1:22" s="2602" customFormat="1" ht="13.2" customHeight="1">
      <c r="A13" s="2645"/>
      <c r="B13" s="2648"/>
      <c r="C13" s="2649" t="s">
        <v>2362</v>
      </c>
      <c r="D13" s="2650"/>
      <c r="E13" s="2651"/>
      <c r="F13" s="2640"/>
      <c r="G13" s="2641"/>
      <c r="H13" s="2597"/>
      <c r="I13" s="2598"/>
      <c r="J13" s="3416"/>
      <c r="K13" s="3418"/>
      <c r="L13" s="2632" t="s">
        <v>2363</v>
      </c>
      <c r="M13" s="2633"/>
      <c r="N13" s="2609"/>
      <c r="O13" s="2634"/>
      <c r="P13" s="2634"/>
      <c r="Q13" s="2635">
        <v>365</v>
      </c>
      <c r="R13" s="2636">
        <f t="shared" si="0"/>
        <v>0</v>
      </c>
      <c r="S13" s="2590"/>
      <c r="T13" s="2590"/>
      <c r="U13" s="2590"/>
      <c r="V13" s="2598"/>
    </row>
    <row r="14" spans="1:22" s="2602" customFormat="1" ht="13.2" customHeight="1">
      <c r="A14" s="2645" t="s">
        <v>2364</v>
      </c>
      <c r="B14" s="3426" t="s">
        <v>2365</v>
      </c>
      <c r="C14" s="3427"/>
      <c r="D14" s="2646">
        <f>ROUND(E14*B5/10000,0)</f>
        <v>0</v>
      </c>
      <c r="E14" s="2635"/>
      <c r="F14" s="2640" t="s">
        <v>2366</v>
      </c>
      <c r="G14" s="2641"/>
      <c r="H14" s="2597"/>
      <c r="I14" s="2598"/>
      <c r="J14" s="3416"/>
      <c r="K14" s="3419"/>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2368</v>
      </c>
      <c r="B15" s="3426" t="s">
        <v>2369</v>
      </c>
      <c r="C15" s="3427"/>
      <c r="D15" s="2646">
        <f>ROUND(D6*E15,0)</f>
        <v>0</v>
      </c>
      <c r="E15" s="2647">
        <v>5.5E-2</v>
      </c>
      <c r="F15" s="2640" t="s">
        <v>2370</v>
      </c>
      <c r="G15" s="2622"/>
      <c r="H15" s="2597"/>
      <c r="I15" s="2598"/>
      <c r="J15" s="3416">
        <v>2</v>
      </c>
      <c r="K15" s="3417"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2" customHeight="1">
      <c r="A16" s="2645" t="s">
        <v>2377</v>
      </c>
      <c r="B16" s="3426" t="s">
        <v>2378</v>
      </c>
      <c r="C16" s="3427"/>
      <c r="D16" s="2657">
        <f>D6*E16</f>
        <v>0</v>
      </c>
      <c r="E16" s="2658"/>
      <c r="F16" s="2643" t="s">
        <v>2379</v>
      </c>
      <c r="G16" s="2622"/>
      <c r="H16" s="2597"/>
      <c r="I16" s="2598"/>
      <c r="J16" s="3416"/>
      <c r="K16" s="3418"/>
      <c r="L16" s="2632" t="s">
        <v>2380</v>
      </c>
      <c r="M16" s="2633"/>
      <c r="N16" s="2633"/>
      <c r="O16" s="2634"/>
      <c r="P16" s="2635">
        <v>365</v>
      </c>
      <c r="Q16" s="2609"/>
      <c r="R16" s="2656">
        <f>ROUND(M16*N16*O16*P16/10000,0)</f>
        <v>0</v>
      </c>
      <c r="S16" s="2590"/>
      <c r="T16" s="2590"/>
      <c r="U16" s="2590"/>
      <c r="V16" s="2598"/>
    </row>
    <row r="17" spans="1:22" s="2602" customFormat="1" ht="13.2" customHeight="1" thickBot="1">
      <c r="A17" s="2659">
        <v>4</v>
      </c>
      <c r="B17" s="3428" t="s">
        <v>2381</v>
      </c>
      <c r="C17" s="3429"/>
      <c r="D17" s="2660">
        <f>ROUND(D6*E17,0)</f>
        <v>0</v>
      </c>
      <c r="E17" s="2661"/>
      <c r="F17" s="2662" t="s">
        <v>2382</v>
      </c>
      <c r="G17" s="2622"/>
      <c r="H17" s="2597"/>
      <c r="I17" s="2598"/>
      <c r="J17" s="3416"/>
      <c r="K17" s="3418"/>
      <c r="L17" s="2632" t="s">
        <v>2383</v>
      </c>
      <c r="M17" s="2633"/>
      <c r="N17" s="2633"/>
      <c r="O17" s="2634"/>
      <c r="P17" s="2635">
        <v>365</v>
      </c>
      <c r="Q17" s="2609"/>
      <c r="R17" s="2656">
        <f>ROUND(M17*N17*O17*P17/10000,0)</f>
        <v>0</v>
      </c>
      <c r="S17" s="2590"/>
      <c r="T17" s="2590"/>
      <c r="U17" s="2590"/>
      <c r="V17" s="2598"/>
    </row>
    <row r="18" spans="1:22" s="2602" customFormat="1" ht="13.2" customHeight="1" thickBot="1">
      <c r="A18" s="2625" t="s">
        <v>2384</v>
      </c>
      <c r="B18" s="2626"/>
      <c r="C18" s="2626"/>
      <c r="D18" s="2663">
        <f>ROUND(D6*E18,0)</f>
        <v>0</v>
      </c>
      <c r="E18" s="2664"/>
      <c r="F18" s="2665" t="s">
        <v>2385</v>
      </c>
      <c r="G18" s="2622"/>
      <c r="H18" s="2597"/>
      <c r="I18" s="2598"/>
      <c r="J18" s="3416"/>
      <c r="K18" s="3418"/>
      <c r="L18" s="2632" t="s">
        <v>2386</v>
      </c>
      <c r="M18" s="2633"/>
      <c r="N18" s="2633"/>
      <c r="O18" s="2634"/>
      <c r="P18" s="2635">
        <v>365</v>
      </c>
      <c r="Q18" s="2609"/>
      <c r="R18" s="2656">
        <f>ROUND(M18*N18*O18*P18/10000,0)</f>
        <v>0</v>
      </c>
      <c r="S18" s="2590"/>
      <c r="T18" s="2590"/>
      <c r="U18" s="2590"/>
      <c r="V18" s="2598"/>
    </row>
    <row r="19" spans="1:22" s="2602" customFormat="1" ht="13.2" customHeight="1" thickBot="1">
      <c r="A19" s="2666" t="s">
        <v>2387</v>
      </c>
      <c r="B19" s="2620"/>
      <c r="C19" s="2620"/>
      <c r="D19" s="2620"/>
      <c r="E19" s="2620"/>
      <c r="F19" s="2621"/>
      <c r="G19" s="2641"/>
      <c r="H19" s="2597"/>
      <c r="I19" s="2598"/>
      <c r="J19" s="3416"/>
      <c r="K19" s="3419"/>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6">
        <v>3</v>
      </c>
      <c r="K20" s="3417"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2" customHeight="1">
      <c r="A21" s="2625"/>
      <c r="B21" s="2626"/>
      <c r="C21" s="2671" t="s">
        <v>2396</v>
      </c>
      <c r="D21" s="2672" t="s">
        <v>2397</v>
      </c>
      <c r="E21" s="2673" t="s">
        <v>2398</v>
      </c>
      <c r="F21" s="2669"/>
      <c r="G21" s="2641"/>
      <c r="H21" s="2597"/>
      <c r="I21" s="2598"/>
      <c r="J21" s="3416"/>
      <c r="K21" s="3418"/>
      <c r="L21" s="2632" t="s">
        <v>2399</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2400</v>
      </c>
      <c r="D22" s="2676" t="s">
        <v>2401</v>
      </c>
      <c r="E22" s="2677" t="s">
        <v>2402</v>
      </c>
      <c r="F22" s="2669"/>
      <c r="G22" s="2590"/>
      <c r="H22" s="2597"/>
      <c r="I22" s="2598"/>
      <c r="J22" s="3416"/>
      <c r="K22" s="3418"/>
      <c r="L22" s="2632" t="s">
        <v>2403</v>
      </c>
      <c r="M22" s="2633"/>
      <c r="N22" s="2633"/>
      <c r="O22" s="2634"/>
      <c r="P22" s="2635">
        <v>365</v>
      </c>
      <c r="Q22" s="2609"/>
      <c r="R22" s="2674">
        <f>ROUND(M22*N22*O22*P22/10000,0)</f>
        <v>0</v>
      </c>
      <c r="S22" s="2590"/>
      <c r="T22" s="2590"/>
      <c r="U22" s="2590"/>
      <c r="V22" s="2598"/>
    </row>
    <row r="23" spans="1:22" s="2602" customFormat="1" ht="13.2" customHeight="1">
      <c r="A23" s="2678">
        <v>1</v>
      </c>
      <c r="B23" s="2679" t="s">
        <v>2404</v>
      </c>
      <c r="C23" s="2680">
        <f>D6</f>
        <v>0</v>
      </c>
      <c r="D23" s="2681">
        <f>C23*(1+D24)</f>
        <v>0</v>
      </c>
      <c r="E23" s="2682">
        <f>D23*(1+E24)</f>
        <v>0</v>
      </c>
      <c r="F23" s="2683"/>
      <c r="G23" s="2684"/>
      <c r="H23" s="2597"/>
      <c r="I23" s="2598"/>
      <c r="J23" s="3416"/>
      <c r="K23" s="3418"/>
      <c r="L23" s="2632" t="s">
        <v>2405</v>
      </c>
      <c r="M23" s="2633"/>
      <c r="N23" s="2633"/>
      <c r="O23" s="2634"/>
      <c r="P23" s="2635">
        <v>365</v>
      </c>
      <c r="Q23" s="2609"/>
      <c r="R23" s="2674">
        <f>ROUND(M23*N23*O23*P23/10000,0)</f>
        <v>0</v>
      </c>
      <c r="S23" s="2590"/>
      <c r="T23" s="2590"/>
      <c r="U23" s="2590"/>
      <c r="V23" s="2598"/>
    </row>
    <row r="24" spans="1:22" s="2602" customFormat="1" ht="13.2" customHeight="1">
      <c r="A24" s="2685"/>
      <c r="B24" s="2686" t="s">
        <v>2406</v>
      </c>
      <c r="C24" s="2687"/>
      <c r="D24" s="2688"/>
      <c r="E24" s="2689"/>
      <c r="F24" s="2690"/>
      <c r="G24" s="2684"/>
      <c r="H24" s="2597"/>
      <c r="I24" s="2598"/>
      <c r="J24" s="3416"/>
      <c r="K24" s="3419"/>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2" customHeight="1">
      <c r="A26" s="2678">
        <v>2</v>
      </c>
      <c r="B26" s="2679" t="s">
        <v>2408</v>
      </c>
      <c r="C26" s="2680">
        <f>D7</f>
        <v>0</v>
      </c>
      <c r="D26" s="2681">
        <f>D23*D27</f>
        <v>0</v>
      </c>
      <c r="E26" s="2682">
        <f>E23*E27</f>
        <v>0</v>
      </c>
      <c r="F26" s="2683"/>
      <c r="G26" s="2684"/>
      <c r="H26" s="2597"/>
      <c r="I26" s="2598"/>
      <c r="J26" s="3420">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2" customHeight="1">
      <c r="A27" s="2685"/>
      <c r="B27" s="2686" t="s">
        <v>2414</v>
      </c>
      <c r="C27" s="2703" t="e">
        <f>E7</f>
        <v>#DIV/0!</v>
      </c>
      <c r="D27" s="2688"/>
      <c r="E27" s="2689"/>
      <c r="F27" s="2690"/>
      <c r="G27" s="2684"/>
      <c r="H27" s="2704"/>
      <c r="I27" s="2696"/>
      <c r="J27" s="342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2"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2" customHeight="1">
      <c r="A32" s="2678">
        <v>4</v>
      </c>
      <c r="B32" s="2679" t="s">
        <v>2422</v>
      </c>
      <c r="C32" s="2680">
        <f>C23-C26-C29</f>
        <v>0</v>
      </c>
      <c r="D32" s="2681">
        <f>D23-D26-D29</f>
        <v>0</v>
      </c>
      <c r="E32" s="2682">
        <f>E23-E26-E29</f>
        <v>0</v>
      </c>
      <c r="F32" s="2683"/>
      <c r="G32" s="2590"/>
      <c r="H32" s="2597"/>
      <c r="I32" s="2598"/>
      <c r="J32" s="3422" t="s">
        <v>2314</v>
      </c>
      <c r="K32" s="3423"/>
      <c r="L32" s="2599" t="s">
        <v>2315</v>
      </c>
      <c r="M32" s="2599" t="s">
        <v>2316</v>
      </c>
      <c r="N32" s="2599" t="s">
        <v>2317</v>
      </c>
      <c r="O32" s="2599" t="s">
        <v>2318</v>
      </c>
      <c r="P32" s="2599" t="s">
        <v>2319</v>
      </c>
      <c r="Q32" s="2600" t="s">
        <v>2320</v>
      </c>
      <c r="R32" s="2719" t="s">
        <v>2321</v>
      </c>
      <c r="S32" s="2590"/>
      <c r="T32" s="2590"/>
      <c r="U32" s="2590"/>
      <c r="V32" s="2696"/>
    </row>
    <row r="33" spans="1:23" s="2602" customFormat="1" ht="13.2" customHeight="1">
      <c r="A33" s="2678"/>
      <c r="B33" s="2679"/>
      <c r="C33" s="2680"/>
      <c r="D33" s="2720"/>
      <c r="E33" s="2721"/>
      <c r="F33" s="2683"/>
      <c r="G33" s="2590"/>
      <c r="H33" s="2704"/>
      <c r="I33" s="2696"/>
      <c r="J33" s="3424" t="s">
        <v>2324</v>
      </c>
      <c r="K33" s="3425"/>
      <c r="L33" s="2605"/>
      <c r="M33" s="2605"/>
      <c r="N33" s="2605"/>
      <c r="O33" s="2605"/>
      <c r="P33" s="2605"/>
      <c r="Q33" s="2606"/>
      <c r="R33" s="2722">
        <f>SUM(L33:Q33)</f>
        <v>0</v>
      </c>
      <c r="S33" s="2590"/>
      <c r="T33" s="2590"/>
      <c r="U33" s="2590"/>
      <c r="V33" s="2598"/>
    </row>
    <row r="34" spans="1:23" s="2602" customFormat="1" ht="13.2" customHeight="1">
      <c r="A34" s="2678">
        <v>5</v>
      </c>
      <c r="B34" s="2679" t="s">
        <v>2423</v>
      </c>
      <c r="C34" s="2723"/>
      <c r="D34" s="2724"/>
      <c r="E34" s="2725"/>
      <c r="F34" s="2683"/>
      <c r="G34" s="2590"/>
      <c r="H34" s="2704"/>
      <c r="I34" s="2696"/>
      <c r="J34" s="3424" t="s">
        <v>2326</v>
      </c>
      <c r="K34" s="342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2" customHeight="1" thickBot="1">
      <c r="A36" s="2678">
        <v>7</v>
      </c>
      <c r="B36" s="2732" t="s">
        <v>2425</v>
      </c>
      <c r="C36" s="2733"/>
      <c r="D36" s="2734"/>
      <c r="E36" s="2735"/>
      <c r="F36" s="2736">
        <f>C36+D36+E36</f>
        <v>0</v>
      </c>
      <c r="G36" s="2590"/>
      <c r="H36" s="2597"/>
      <c r="I36" s="2598"/>
      <c r="J36" s="3416">
        <v>1</v>
      </c>
      <c r="K36" s="3417" t="s">
        <v>2426</v>
      </c>
      <c r="L36" s="2623"/>
      <c r="M36" s="2624"/>
      <c r="N36" s="2624"/>
      <c r="O36" s="2624"/>
      <c r="P36" s="2624"/>
      <c r="Q36" s="2624"/>
      <c r="R36" s="2607" t="s">
        <v>2338</v>
      </c>
      <c r="S36" s="2590"/>
      <c r="T36" s="2590" t="s">
        <v>2339</v>
      </c>
      <c r="U36" s="2590"/>
      <c r="V36" s="2598"/>
    </row>
    <row r="37" spans="1:23" s="2602" customFormat="1" ht="13.2"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2342</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2349</v>
      </c>
      <c r="U38" s="2590"/>
      <c r="V38" s="2598"/>
    </row>
    <row r="39" spans="1:23" s="2602" customFormat="1" ht="13.2" customHeight="1">
      <c r="A39" s="2678">
        <v>9</v>
      </c>
      <c r="B39" s="2679" t="s">
        <v>2427</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2" customHeight="1">
      <c r="A40" s="2737">
        <v>10</v>
      </c>
      <c r="B40" s="2679" t="s">
        <v>2428</v>
      </c>
      <c r="C40" s="2738" t="e">
        <f>C39+D39+E39</f>
        <v>#DIV/0!</v>
      </c>
      <c r="D40" s="2739"/>
      <c r="E40" s="2739"/>
      <c r="F40" s="2740"/>
      <c r="G40" s="2590"/>
      <c r="H40" s="2597"/>
      <c r="I40" s="2598"/>
      <c r="J40" s="3416"/>
      <c r="K40" s="3419"/>
      <c r="L40" s="2652" t="s">
        <v>2367</v>
      </c>
      <c r="M40" s="2653"/>
      <c r="N40" s="2653"/>
      <c r="O40" s="2654"/>
      <c r="P40" s="2654"/>
      <c r="Q40" s="2655"/>
      <c r="R40" s="2601">
        <f>SUM(R37:R39)</f>
        <v>0</v>
      </c>
      <c r="S40" s="2590"/>
      <c r="T40" s="2590"/>
      <c r="U40" s="2590"/>
      <c r="V40" s="2598"/>
    </row>
    <row r="41" spans="1:23" s="2602" customFormat="1" ht="13.2"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2" customHeight="1">
      <c r="G42" s="2597"/>
      <c r="H42" s="2597"/>
      <c r="I42" s="2598"/>
      <c r="J42" s="3420">
        <v>3</v>
      </c>
      <c r="K42" s="2698" t="s">
        <v>2409</v>
      </c>
      <c r="L42" s="2699"/>
      <c r="M42" s="2700"/>
      <c r="N42" s="2701" t="s">
        <v>2410</v>
      </c>
      <c r="O42" s="2701" t="s">
        <v>2411</v>
      </c>
      <c r="P42" s="2702" t="s">
        <v>2412</v>
      </c>
      <c r="Q42" s="2702" t="s">
        <v>2413</v>
      </c>
      <c r="R42" s="2607" t="s">
        <v>2338</v>
      </c>
      <c r="S42" s="2641"/>
      <c r="T42" s="2641"/>
      <c r="U42" s="2590"/>
      <c r="V42" s="2598"/>
    </row>
    <row r="43" spans="1:23" ht="13.2" customHeight="1">
      <c r="A43" s="2602"/>
      <c r="B43" s="2602"/>
      <c r="C43" s="2602"/>
      <c r="D43" s="2602"/>
      <c r="E43" s="2602"/>
      <c r="F43" s="2602"/>
      <c r="I43" s="2585"/>
      <c r="J43" s="342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opLeftCell="D1" zoomScale="90" zoomScaleNormal="90" workbookViewId="0">
      <pane ySplit="24" topLeftCell="A25" activePane="bottomLeft" state="frozen"/>
      <selection activeCell="Q80" sqref="Q80"/>
      <selection pane="bottomLeft" activeCell="R24" sqref="R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2081</v>
      </c>
      <c r="C1" s="3438" t="s">
        <v>2082</v>
      </c>
      <c r="D1" s="3439"/>
      <c r="E1" s="3439"/>
      <c r="F1" s="3439"/>
      <c r="G1" s="3439"/>
      <c r="H1" s="3439"/>
      <c r="I1" s="3439"/>
      <c r="J1" s="3439"/>
      <c r="K1" s="3439"/>
      <c r="L1" s="3439"/>
      <c r="M1" s="3439"/>
      <c r="N1" s="3439"/>
      <c r="O1" s="3439"/>
      <c r="P1" s="3439"/>
      <c r="Q1" s="3439"/>
      <c r="R1" s="3439"/>
      <c r="S1" s="3440"/>
      <c r="T1" s="927" t="s">
        <v>2083</v>
      </c>
    </row>
    <row r="2" spans="1:45" s="625" customFormat="1" ht="66">
      <c r="A2" s="928"/>
      <c r="B2" s="622" t="s">
        <v>2084</v>
      </c>
      <c r="C2" s="14" t="str">
        <f t="shared" ref="C2:L2" si="0">C3&amp;"(含)"&amp;"-"&amp;D3</f>
        <v>0(含)-2000</v>
      </c>
      <c r="D2" s="623" t="str">
        <f t="shared" si="0"/>
        <v>2000(含)-6000</v>
      </c>
      <c r="E2" s="623" t="str">
        <f t="shared" si="0"/>
        <v>6000(含)-10000</v>
      </c>
      <c r="F2" s="623" t="str">
        <f t="shared" si="0"/>
        <v>10000(含)-15000</v>
      </c>
      <c r="G2" s="623" t="str">
        <f t="shared" si="0"/>
        <v>15000(含)-20000</v>
      </c>
      <c r="H2" s="623" t="str">
        <f t="shared" si="0"/>
        <v>20000(含)-30000</v>
      </c>
      <c r="I2" s="623" t="str">
        <f t="shared" si="0"/>
        <v>30000(含)-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3.8">
      <c r="A3" s="930"/>
      <c r="B3" s="626"/>
      <c r="C3" s="6">
        <v>0</v>
      </c>
      <c r="D3" s="6">
        <v>2000</v>
      </c>
      <c r="E3" s="6">
        <v>6000</v>
      </c>
      <c r="F3" s="6">
        <v>10000</v>
      </c>
      <c r="G3" s="6">
        <v>15000</v>
      </c>
      <c r="H3" s="6">
        <v>20000</v>
      </c>
      <c r="I3" s="6">
        <v>30000</v>
      </c>
      <c r="J3" s="524"/>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4.4" thickBot="1">
      <c r="A4" s="931"/>
      <c r="B4" s="932"/>
      <c r="C4" s="491">
        <v>100</v>
      </c>
      <c r="D4" s="467">
        <v>99</v>
      </c>
      <c r="E4" s="467">
        <v>98</v>
      </c>
      <c r="F4" s="467">
        <v>97</v>
      </c>
      <c r="G4" s="467">
        <v>96</v>
      </c>
      <c r="H4" s="467">
        <v>95</v>
      </c>
      <c r="I4" s="467">
        <v>94</v>
      </c>
      <c r="J4" s="467"/>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8" thickTop="1">
      <c r="A5" s="923"/>
      <c r="B5" s="1247" t="s">
        <v>2085</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2086</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2087</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5" customFormat="1" ht="24">
      <c r="A17" s="1984" t="s">
        <v>2091</v>
      </c>
      <c r="B17" s="1985" t="s">
        <v>2092</v>
      </c>
      <c r="C17" s="3163" t="s">
        <v>3449</v>
      </c>
      <c r="D17" s="3164" t="s">
        <v>3451</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5" customFormat="1" ht="13.8" thickBot="1">
      <c r="A18" s="959"/>
      <c r="B18" s="960"/>
      <c r="C18" s="961">
        <v>100</v>
      </c>
      <c r="D18" s="962">
        <v>95</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6" t="s">
        <v>2093</v>
      </c>
      <c r="E19" s="1251"/>
      <c r="F19" s="1251"/>
      <c r="G19" s="1251"/>
      <c r="H19" s="994"/>
      <c r="I19" s="151"/>
      <c r="J19" s="151"/>
      <c r="K19" s="151"/>
      <c r="L19" s="151"/>
      <c r="M19" s="151"/>
      <c r="N19" s="151"/>
      <c r="O19" s="151"/>
      <c r="P19" s="151"/>
      <c r="Q19" s="151"/>
      <c r="R19" s="151"/>
      <c r="S19" s="121"/>
    </row>
    <row r="20" spans="1:45" ht="16.2" thickBot="1">
      <c r="A20" s="630" t="s">
        <v>2094</v>
      </c>
      <c r="B20" s="286">
        <f ca="1">IF(D20="——",S22,S22-F20)</f>
        <v>84300</v>
      </c>
      <c r="C20" s="151"/>
      <c r="D20" s="1987" t="s">
        <v>43</v>
      </c>
      <c r="E20" s="1252"/>
      <c r="F20" s="927" t="e">
        <f ca="1">SUMIF(INDIRECT("'"&amp;H20&amp;"'"&amp;"!A:A"),"承租人权益价值",INDIRECT("'"&amp;H20&amp;"'"&amp;"!c:c"))</f>
        <v>#REF!</v>
      </c>
      <c r="G20" s="927" t="s">
        <v>2095</v>
      </c>
      <c r="H20" s="1988"/>
      <c r="I20" s="151"/>
      <c r="J20" s="151"/>
      <c r="K20" s="151"/>
      <c r="L20" s="151"/>
      <c r="M20" s="151"/>
      <c r="N20" s="151"/>
      <c r="O20" s="151"/>
      <c r="P20" s="151"/>
      <c r="Q20" s="151"/>
      <c r="R20" s="151"/>
      <c r="S20" s="121"/>
    </row>
    <row r="21" spans="1:45" ht="15.6">
      <c r="A21" s="630" t="s">
        <v>2096</v>
      </c>
      <c r="B21" s="286">
        <f ca="1">ROUND(B20*10000/B22,0)</f>
        <v>22920</v>
      </c>
      <c r="C21" s="151"/>
      <c r="D21" s="151"/>
      <c r="E21" s="151"/>
      <c r="F21" s="151"/>
      <c r="G21" s="151"/>
      <c r="H21" s="151"/>
      <c r="I21" s="151"/>
      <c r="J21" s="151"/>
      <c r="K21" s="151"/>
      <c r="L21" s="151"/>
      <c r="M21" s="151"/>
      <c r="N21" s="151"/>
      <c r="O21" s="151"/>
      <c r="P21" s="151"/>
      <c r="Q21" s="151"/>
      <c r="R21" s="151"/>
      <c r="S21" s="121">
        <f ca="1">S22*0.6</f>
        <v>50580</v>
      </c>
    </row>
    <row r="22" spans="1:45">
      <c r="A22" s="308" t="s">
        <v>2097</v>
      </c>
      <c r="B22" s="21">
        <f>SUM(B24:B10000)</f>
        <v>36780.86</v>
      </c>
      <c r="C22" s="3435" t="s">
        <v>27</v>
      </c>
      <c r="D22" s="3436"/>
      <c r="E22" s="3436"/>
      <c r="F22" s="3436"/>
      <c r="G22" s="3436"/>
      <c r="H22" s="3436"/>
      <c r="I22" s="3436"/>
      <c r="J22" s="3436"/>
      <c r="K22" s="3436"/>
      <c r="L22" s="3436"/>
      <c r="M22" s="3436"/>
      <c r="N22" s="3436"/>
      <c r="O22" s="3436"/>
      <c r="P22" s="3436"/>
      <c r="Q22" s="3437"/>
      <c r="R22" s="21">
        <f ca="1">ROUND(S22*10000/B22,0)</f>
        <v>22920</v>
      </c>
      <c r="S22" s="21">
        <f ca="1">SUM(S24:S10000)</f>
        <v>84300</v>
      </c>
      <c r="U22" s="682" t="s">
        <v>3517</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f>U24+U25</f>
        <v>84689</v>
      </c>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62" t="s">
        <v>3444</v>
      </c>
      <c r="B24" s="631">
        <f>'数据-基础表'!I13</f>
        <v>11487.92</v>
      </c>
      <c r="C24" s="2568">
        <v>1</v>
      </c>
      <c r="D24" s="2569"/>
      <c r="E24" s="2568">
        <v>1</v>
      </c>
      <c r="F24" s="2569"/>
      <c r="G24" s="2568">
        <v>1</v>
      </c>
      <c r="H24" s="2569"/>
      <c r="I24" s="2568">
        <v>1</v>
      </c>
      <c r="J24" s="2569"/>
      <c r="K24" s="2568">
        <v>1</v>
      </c>
      <c r="L24" s="2569"/>
      <c r="M24" s="2568">
        <v>1</v>
      </c>
      <c r="N24" s="2569"/>
      <c r="O24" s="2568">
        <v>1</v>
      </c>
      <c r="P24" s="2569" t="s">
        <v>3448</v>
      </c>
      <c r="Q24" s="2568">
        <v>1</v>
      </c>
      <c r="R24" s="631">
        <f ca="1">结果表!G20</f>
        <v>24061</v>
      </c>
      <c r="S24" s="632">
        <f t="shared" ref="S24:S54" ca="1" si="11">ROUND(R24*B24/10000,0)</f>
        <v>27641</v>
      </c>
      <c r="T24" s="687"/>
      <c r="U24" s="687">
        <v>27647</v>
      </c>
      <c r="V24" s="687">
        <f>ROUND(U24/B24*10000,0)</f>
        <v>24066</v>
      </c>
      <c r="W24" s="687">
        <f ca="1">S24/U24</f>
        <v>0.99978297826165585</v>
      </c>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t="s">
        <v>3445</v>
      </c>
      <c r="B25" s="52">
        <f>'数据-基础表'!H14</f>
        <v>25292.940000000002</v>
      </c>
      <c r="C25" s="21">
        <f>IF(B25="",1,(LOOKUP(B25,$3:$3,$4:$4)-LOOKUP($B$24,$3:$3,$4:$4)+100)/100)</f>
        <v>0.98</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3450</v>
      </c>
      <c r="Q25" s="3173">
        <f>(SUMIF($17:$17,P25,$18:$18)-SUMIF($17:$17,$P$24,$18:$18)+100)/100</f>
        <v>0.95</v>
      </c>
      <c r="R25" s="21">
        <f ca="1">IF(B25="",0,ROUND($R$24*C25*E25*G25*I25*K25*M25*O25*Q25,0))</f>
        <v>22401</v>
      </c>
      <c r="S25" s="308">
        <f t="shared" ca="1" si="11"/>
        <v>56659</v>
      </c>
      <c r="U25" s="682">
        <v>57042</v>
      </c>
      <c r="V25" s="687">
        <f>ROUND(U25/B25*10000,0)</f>
        <v>22553</v>
      </c>
      <c r="W25" s="682">
        <f ca="1">S25/U25</f>
        <v>0.99328564917078643</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tabSelected="1" view="pageBreakPreview" topLeftCell="K49" zoomScaleNormal="100" zoomScaleSheetLayoutView="100" zoomScalePageLayoutView="80" workbookViewId="0">
      <selection activeCell="P61" sqref="P61"/>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1260</v>
      </c>
      <c r="B1" s="644"/>
      <c r="C1" s="1618" t="s">
        <v>3418</v>
      </c>
      <c r="D1" s="644"/>
      <c r="E1" s="644"/>
      <c r="F1" s="1619" t="s">
        <v>1261</v>
      </c>
      <c r="G1" s="1451"/>
      <c r="H1" s="1619" t="str">
        <f>IF(G1="现房","——","估价对象范围")</f>
        <v>估价对象范围</v>
      </c>
      <c r="I1" s="1620"/>
    </row>
    <row r="2" spans="1:12" ht="21.75" customHeight="1" thickBot="1">
      <c r="A2" s="3297" t="str">
        <f>项目基本情况!S2</f>
        <v>北京市房地产</v>
      </c>
      <c r="B2" s="3298"/>
      <c r="C2" s="3298"/>
      <c r="D2" s="3298"/>
      <c r="E2" s="3298"/>
      <c r="F2" s="3298"/>
      <c r="G2" s="3298"/>
      <c r="H2" s="3298"/>
      <c r="I2" s="3299"/>
    </row>
    <row r="3" spans="1:12" ht="13.2">
      <c r="A3" s="3301" t="s">
        <v>1262</v>
      </c>
      <c r="B3" s="3302"/>
      <c r="C3" s="3302"/>
      <c r="D3" s="3302"/>
      <c r="E3" s="3302"/>
      <c r="F3" s="3302"/>
      <c r="G3" s="3302"/>
      <c r="H3" s="3302"/>
      <c r="I3" s="3302"/>
    </row>
    <row r="4" spans="1:12" ht="14.4">
      <c r="A4" s="1622" t="s">
        <v>1263</v>
      </c>
      <c r="B4" s="1623" t="s">
        <v>1264</v>
      </c>
      <c r="C4" s="1624" t="s">
        <v>3439</v>
      </c>
      <c r="D4" s="1624" t="s">
        <v>3442</v>
      </c>
      <c r="E4" s="3303" t="s">
        <v>1265</v>
      </c>
      <c r="F4" s="3304"/>
      <c r="G4" s="3304"/>
      <c r="H4" s="3304"/>
      <c r="I4" s="3305"/>
      <c r="K4" s="138" t="str">
        <f>IF(ISNUMBER(FIND("比较法",'结果表(13号楼净值)'!C4)),"比较法",IF(ISNUMBER(FIND("成本法",'结果表(13号楼净值)'!C4)),"成本法",IF(ISNUMBER(FIND("假设开发法",'结果表(13号楼净值)'!C4)),"假设开发法",IF(ISNUMBER(FIND("收益法",'结果表(13号楼净值)'!C4)),"收益法","基准地价系数修正法"))))</f>
        <v>比较法</v>
      </c>
      <c r="L4" s="138" t="str">
        <f>IF(ISNUMBER(FIND("比较法",'结果表(13号楼净值)'!D4)),"比较法",IF(ISNUMBER(FIND("成本法",'结果表(13号楼净值)'!D4)),"成本法",IF(ISNUMBER(FIND("假设开发法",'结果表(13号楼净值)'!D4)),"假设开发法",IF(ISNUMBER(FIND("收益法",'结果表(13号楼净值)'!D4)),"收益法","基准地价系数修正法"))))</f>
        <v>收益法</v>
      </c>
    </row>
    <row r="5" spans="1:12" ht="13.2">
      <c r="A5" s="3277" t="s">
        <v>1266</v>
      </c>
      <c r="B5" s="3264">
        <v>25</v>
      </c>
      <c r="C5" s="3280"/>
      <c r="D5" s="3300"/>
      <c r="E5" s="123" t="s">
        <v>1267</v>
      </c>
      <c r="F5" s="1625"/>
      <c r="G5" s="1625"/>
      <c r="H5" s="1625"/>
      <c r="I5" s="1279"/>
    </row>
    <row r="6" spans="1:12" ht="13.2">
      <c r="A6" s="3277"/>
      <c r="B6" s="3264"/>
      <c r="C6" s="3281"/>
      <c r="D6" s="3300"/>
      <c r="E6" s="123" t="s">
        <v>1268</v>
      </c>
      <c r="F6" s="1625"/>
      <c r="G6" s="1625"/>
      <c r="H6" s="1625"/>
      <c r="I6" s="1279"/>
    </row>
    <row r="7" spans="1:12" ht="13.2">
      <c r="A7" s="3277"/>
      <c r="B7" s="3264"/>
      <c r="C7" s="3282"/>
      <c r="D7" s="3300"/>
      <c r="E7" s="123" t="s">
        <v>1269</v>
      </c>
      <c r="F7" s="1625"/>
      <c r="G7" s="1625"/>
      <c r="H7" s="1625"/>
      <c r="I7" s="1279"/>
    </row>
    <row r="8" spans="1:12" ht="13.2">
      <c r="A8" s="3277" t="s">
        <v>1270</v>
      </c>
      <c r="B8" s="3264">
        <v>15</v>
      </c>
      <c r="C8" s="3280"/>
      <c r="D8" s="3300"/>
      <c r="E8" s="123" t="s">
        <v>1271</v>
      </c>
      <c r="F8" s="1625"/>
      <c r="G8" s="1625"/>
      <c r="H8" s="1625"/>
      <c r="I8" s="1279"/>
    </row>
    <row r="9" spans="1:12" ht="13.2">
      <c r="A9" s="3277"/>
      <c r="B9" s="3264"/>
      <c r="C9" s="3282"/>
      <c r="D9" s="3300"/>
      <c r="E9" s="123" t="s">
        <v>1272</v>
      </c>
      <c r="F9" s="1625"/>
      <c r="G9" s="1625"/>
      <c r="H9" s="1625"/>
      <c r="I9" s="1279"/>
    </row>
    <row r="10" spans="1:12" ht="13.2">
      <c r="A10" s="3277" t="s">
        <v>1273</v>
      </c>
      <c r="B10" s="3264">
        <v>15</v>
      </c>
      <c r="C10" s="3280"/>
      <c r="D10" s="3300"/>
      <c r="E10" s="123" t="s">
        <v>1274</v>
      </c>
      <c r="F10" s="1625"/>
      <c r="G10" s="1625"/>
      <c r="H10" s="1625"/>
      <c r="I10" s="1279"/>
    </row>
    <row r="11" spans="1:12" ht="13.2">
      <c r="A11" s="3277"/>
      <c r="B11" s="3264"/>
      <c r="C11" s="3282"/>
      <c r="D11" s="3300"/>
      <c r="E11" s="123" t="s">
        <v>1275</v>
      </c>
      <c r="F11" s="1625"/>
      <c r="G11" s="1625"/>
      <c r="H11" s="1625"/>
      <c r="I11" s="1279"/>
    </row>
    <row r="12" spans="1:12" ht="13.2">
      <c r="A12" s="3277" t="s">
        <v>1276</v>
      </c>
      <c r="B12" s="3264">
        <v>15</v>
      </c>
      <c r="C12" s="3280"/>
      <c r="D12" s="3300"/>
      <c r="E12" s="123" t="s">
        <v>1277</v>
      </c>
      <c r="F12" s="1625"/>
      <c r="G12" s="1625"/>
      <c r="H12" s="1625"/>
      <c r="I12" s="1279"/>
    </row>
    <row r="13" spans="1:12" ht="13.2">
      <c r="A13" s="3277"/>
      <c r="B13" s="3264"/>
      <c r="C13" s="3282"/>
      <c r="D13" s="3300"/>
      <c r="E13" s="123" t="s">
        <v>1278</v>
      </c>
      <c r="F13" s="1625"/>
      <c r="G13" s="1625"/>
      <c r="H13" s="1625"/>
      <c r="I13" s="1279"/>
    </row>
    <row r="14" spans="1:12" ht="13.2">
      <c r="A14" s="3277" t="s">
        <v>1279</v>
      </c>
      <c r="B14" s="3264">
        <v>30</v>
      </c>
      <c r="C14" s="3280">
        <v>7</v>
      </c>
      <c r="D14" s="3300">
        <v>3</v>
      </c>
      <c r="E14" s="123" t="s">
        <v>1280</v>
      </c>
      <c r="F14" s="1625"/>
      <c r="G14" s="1625"/>
      <c r="H14" s="1625"/>
      <c r="I14" s="1279"/>
    </row>
    <row r="15" spans="1:12" ht="13.2">
      <c r="A15" s="3277"/>
      <c r="B15" s="3264"/>
      <c r="C15" s="3281"/>
      <c r="D15" s="3300"/>
      <c r="E15" s="123" t="s">
        <v>1281</v>
      </c>
      <c r="F15" s="1625"/>
      <c r="G15" s="1625"/>
      <c r="H15" s="1625"/>
      <c r="I15" s="1279"/>
    </row>
    <row r="16" spans="1:12" ht="13.2">
      <c r="A16" s="3277"/>
      <c r="B16" s="3264"/>
      <c r="C16" s="3282"/>
      <c r="D16" s="3300"/>
      <c r="E16" s="123" t="s">
        <v>1282</v>
      </c>
      <c r="F16" s="1625"/>
      <c r="G16" s="1625"/>
      <c r="H16" s="1625"/>
      <c r="I16" s="1279"/>
    </row>
    <row r="17" spans="1:36" ht="14.4">
      <c r="A17" s="1626" t="s">
        <v>1283</v>
      </c>
      <c r="B17" s="54"/>
      <c r="C17" s="124">
        <f>SUM(C5:C16)</f>
        <v>7</v>
      </c>
      <c r="D17" s="124">
        <f>SUM(D5:D16)</f>
        <v>3</v>
      </c>
      <c r="E17" s="121"/>
      <c r="F17" s="121"/>
      <c r="G17" s="121"/>
      <c r="H17" s="121"/>
      <c r="I17" s="121"/>
      <c r="K17" s="294"/>
      <c r="L17" s="294" t="s">
        <v>1284</v>
      </c>
      <c r="M17" s="294" t="s">
        <v>1285</v>
      </c>
    </row>
    <row r="18" spans="1:36" ht="31.95" customHeight="1" thickBot="1">
      <c r="A18" s="1627" t="s">
        <v>1286</v>
      </c>
      <c r="B18" s="1540"/>
      <c r="C18" s="125">
        <f>ROUND(C17/SUM(C17:D17),2)</f>
        <v>0.7</v>
      </c>
      <c r="D18" s="125">
        <f>1-C18</f>
        <v>0.30000000000000004</v>
      </c>
      <c r="E18" s="3287" t="s">
        <v>2128</v>
      </c>
      <c r="F18" s="3288"/>
      <c r="G18" s="3288"/>
      <c r="H18" s="3288"/>
      <c r="I18" s="3288"/>
      <c r="K18" s="294" t="s">
        <v>1287</v>
      </c>
      <c r="L18" s="294">
        <f>IF(C1="",'数据-汇总表'!E3,SUMIF(项目类型,C1,'数据-汇总表'!E17:E26)+SUMIF(项目类型,C1,'数据-汇总表'!I17:I26))</f>
        <v>11487.92</v>
      </c>
      <c r="M18" s="294">
        <f>IF(C1="",'数据-汇总表'!E3,SUMIF(项目类型,C1,'数据-汇总表'!E17:E26))</f>
        <v>11487.92</v>
      </c>
    </row>
    <row r="19" spans="1:36" ht="14.4">
      <c r="A19" s="1628" t="s">
        <v>1288</v>
      </c>
      <c r="B19" s="1629" t="s">
        <v>1289</v>
      </c>
      <c r="C19" s="126">
        <f ca="1">SUMIF(INDIRECT("'"&amp;C4&amp;"'"&amp;"!A:A"),'结果表(13号楼净值)'!B19,INDIRECT("'"&amp;C4&amp;"'"&amp;"!B:B"))</f>
        <v>30059</v>
      </c>
      <c r="D19" s="127">
        <f ca="1">SUMIF(INDIRECT("'"&amp;D4&amp;"'"&amp;"!A:A"),'结果表(13号楼净值)'!B19,INDIRECT("'"&amp;D4&amp;"'"&amp;"!B:B"))</f>
        <v>21997</v>
      </c>
      <c r="E19" s="1628" t="s">
        <v>1290</v>
      </c>
      <c r="F19" s="1629" t="s">
        <v>1289</v>
      </c>
      <c r="G19" s="128">
        <f ca="1">ROUND(C19*$C$18+D19*$D$18,0)</f>
        <v>27640</v>
      </c>
      <c r="H19" s="1630" t="s">
        <v>1291</v>
      </c>
      <c r="I19" s="121"/>
      <c r="K19" s="294" t="s">
        <v>1292</v>
      </c>
      <c r="L19" s="294">
        <f>IF(C1="",'数据-汇总表'!D3,SUMIF(项目类型,C1,'数据-汇总表'!D17:D26)+SUMIF(项目类型,C1,'数据-汇总表'!H17:H27))</f>
        <v>5422.86</v>
      </c>
      <c r="M19" s="294">
        <f>IF(C1="",'数据-汇总表'!D3,SUMIF(项目类型,C1,'数据-汇总表'!D17:D26))</f>
        <v>5422.86</v>
      </c>
    </row>
    <row r="20" spans="1:36" ht="14.4">
      <c r="A20" s="1631"/>
      <c r="B20" s="43" t="s">
        <v>1293</v>
      </c>
      <c r="C20" s="129">
        <f ca="1">SUMIF(INDIRECT("'"&amp;C4&amp;"'"&amp;"!A:A"),'结果表(13号楼净值)'!B20,INDIRECT("'"&amp;C4&amp;"'"&amp;"!B:B"))</f>
        <v>26166</v>
      </c>
      <c r="D20" s="130">
        <f ca="1">SUMIF(INDIRECT("'"&amp;D4&amp;"'"&amp;"!A:A"),'结果表(13号楼净值)'!B20,INDIRECT("'"&amp;D4&amp;"'"&amp;"!B:B"))</f>
        <v>19148</v>
      </c>
      <c r="E20" s="1631"/>
      <c r="F20" s="43" t="s">
        <v>1293</v>
      </c>
      <c r="G20" s="131">
        <f ca="1">ROUND(C20*$C$18+D20*$D$18,0)</f>
        <v>24061</v>
      </c>
      <c r="H20" s="758" t="s">
        <v>1294</v>
      </c>
      <c r="I20" s="121"/>
    </row>
    <row r="21" spans="1:36" ht="15" customHeight="1" thickBot="1">
      <c r="A21" s="449"/>
      <c r="B21" s="93" t="s">
        <v>1295</v>
      </c>
      <c r="C21" s="676">
        <f ca="1">ROUND(C19*10000/L19,0)</f>
        <v>55430</v>
      </c>
      <c r="D21" s="677">
        <f ca="1">ROUND(D19*10000/L19,0)</f>
        <v>40563</v>
      </c>
      <c r="E21" s="449"/>
      <c r="F21" s="93" t="s">
        <v>1295</v>
      </c>
      <c r="G21" s="132">
        <f ca="1">ROUND(G19*10000/L19,0)</f>
        <v>50969</v>
      </c>
      <c r="H21" s="1632" t="s">
        <v>1294</v>
      </c>
      <c r="I21" s="121"/>
    </row>
    <row r="22" spans="1:36" ht="15" thickBot="1">
      <c r="A22" s="1562" t="s">
        <v>1296</v>
      </c>
      <c r="B22" s="1633"/>
      <c r="C22" s="1634"/>
      <c r="D22" s="678">
        <f ca="1">IF(C19&lt;D19,D19/C19-1,C19/D19-1)</f>
        <v>0.36650452334409245</v>
      </c>
      <c r="E22" s="121"/>
      <c r="F22" s="121"/>
      <c r="G22" s="121"/>
      <c r="H22" s="121"/>
      <c r="I22" s="121"/>
    </row>
    <row r="23" spans="1:36" ht="13.8" thickBot="1">
      <c r="A23" s="644"/>
      <c r="B23" s="644"/>
      <c r="C23" s="644"/>
      <c r="D23" s="644"/>
      <c r="E23" s="121"/>
      <c r="F23" s="121"/>
      <c r="G23" s="121"/>
      <c r="H23" s="121"/>
      <c r="I23" s="121"/>
    </row>
    <row r="24" spans="1:36" ht="14.4">
      <c r="A24" s="3271" t="s">
        <v>1297</v>
      </c>
      <c r="B24" s="1629" t="s">
        <v>1289</v>
      </c>
      <c r="C24" s="128">
        <f>IF(B30=0,0,D30)</f>
        <v>0</v>
      </c>
      <c r="D24" s="1635"/>
      <c r="E24" s="121"/>
      <c r="F24" s="121"/>
      <c r="G24" s="121"/>
      <c r="H24" s="121"/>
      <c r="I24" s="121"/>
    </row>
    <row r="25" spans="1:36" ht="14.4">
      <c r="A25" s="3272"/>
      <c r="B25" s="43" t="s">
        <v>1293</v>
      </c>
      <c r="C25" s="133">
        <f>IF(B30=0,0,C30)</f>
        <v>0</v>
      </c>
      <c r="D25" s="1636"/>
      <c r="E25" s="121"/>
      <c r="F25" s="121"/>
      <c r="G25" s="121"/>
      <c r="H25" s="121"/>
      <c r="I25" s="121"/>
    </row>
    <row r="26" spans="1:36" ht="13.5" customHeight="1">
      <c r="A26" s="1637" t="s">
        <v>1298</v>
      </c>
      <c r="B26" s="134" t="s">
        <v>1299</v>
      </c>
      <c r="C26" s="134" t="s">
        <v>1300</v>
      </c>
      <c r="D26" s="135" t="s">
        <v>1301</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1302</v>
      </c>
      <c r="B30" s="134"/>
      <c r="C30" s="134"/>
      <c r="D30" s="134"/>
      <c r="E30" s="2125" t="s">
        <v>2129</v>
      </c>
      <c r="F30" s="121"/>
      <c r="G30" s="121"/>
      <c r="H30" s="121"/>
      <c r="I30" s="121"/>
    </row>
    <row r="31" spans="1:36" s="2131" customFormat="1" ht="26.4"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1303</v>
      </c>
      <c r="B32" s="1533"/>
      <c r="C32" s="136">
        <f ca="1">IF(D32="总价",G19-C24,G20-C25)</f>
        <v>27640</v>
      </c>
      <c r="D32" s="1639" t="s">
        <v>3446</v>
      </c>
      <c r="E32" s="121"/>
      <c r="F32" s="121"/>
      <c r="G32" s="121"/>
      <c r="H32" s="121"/>
      <c r="I32" s="121"/>
    </row>
    <row r="33" spans="1:15" ht="14.4">
      <c r="A33" s="738" t="s">
        <v>1304</v>
      </c>
      <c r="B33" s="123"/>
      <c r="C33" s="1640" t="s">
        <v>3447</v>
      </c>
      <c r="D33" s="1641" t="s">
        <v>3442</v>
      </c>
      <c r="E33" s="1642" t="s">
        <v>1305</v>
      </c>
      <c r="F33" s="1643" t="str">
        <f>IF(D32="楼面单价","取值（单价）","取值（总价）")</f>
        <v>取值（总价）</v>
      </c>
      <c r="G33" s="121"/>
      <c r="H33" s="121"/>
      <c r="I33" s="121"/>
    </row>
    <row r="34" spans="1:15" ht="14.4">
      <c r="A34" s="1644"/>
      <c r="B34" s="1645" t="s">
        <v>1306</v>
      </c>
      <c r="C34" s="140">
        <f ca="1">IF(C33="自定义",F34,C32-C35)</f>
        <v>14539</v>
      </c>
      <c r="D34" s="806">
        <f ca="1">IF(C33="自定义",ROUND(C34/C32,3),IF(C33="收益比率",SUMIF(INDIRECT("'"&amp;D33&amp;"'"&amp;"!b:b"),"土地收益比率",INDIRECT("'"&amp;D33&amp;"'"&amp;"!c:c")),SUMIF(INDIRECT("'"&amp;D33&amp;"'"&amp;"!b:b"),"土地成本比率",INDIRECT("'"&amp;D33&amp;"'"&amp;"!c:c"))))</f>
        <v>0.52600000000000002</v>
      </c>
      <c r="E34" s="1646" t="s">
        <v>1307</v>
      </c>
      <c r="F34" s="1241"/>
      <c r="G34" s="121"/>
      <c r="H34" s="121"/>
      <c r="I34" s="121"/>
    </row>
    <row r="35" spans="1:15" ht="15" thickBot="1">
      <c r="A35" s="1647"/>
      <c r="B35" s="1648" t="s">
        <v>1308</v>
      </c>
      <c r="C35" s="1088">
        <f ca="1">IF(C33="自定义",F35,ROUND(C32*D35,0))</f>
        <v>13101</v>
      </c>
      <c r="D35" s="1089">
        <f ca="1">IF(C33="自定义",ROUND(C35/C32,3),IF(C33="收益比率",SUMIF(INDIRECT("'"&amp;D33&amp;"'"&amp;"!b:b"),"建筑物收益比率",INDIRECT("'"&amp;D33&amp;"'"&amp;"!c:c")),SUMIF(INDIRECT("'"&amp;D33&amp;"'"&amp;"!b:b"),"建筑物成本比率",INDIRECT("'"&amp;D33&amp;"'"&amp;"!c:c"))))</f>
        <v>0.47399999999999998</v>
      </c>
      <c r="E35" s="1649" t="s">
        <v>1309</v>
      </c>
      <c r="F35" s="146"/>
      <c r="G35" s="121"/>
      <c r="H35" s="121"/>
      <c r="I35" s="121"/>
    </row>
    <row r="36" spans="1:15" ht="15" thickBot="1">
      <c r="A36" s="3291" t="s">
        <v>1310</v>
      </c>
      <c r="B36" s="1650" t="s">
        <v>1311</v>
      </c>
      <c r="C36" s="137"/>
      <c r="D36" s="1651"/>
      <c r="E36" s="1565"/>
      <c r="F36" s="1652"/>
      <c r="G36" s="121"/>
      <c r="H36" s="121"/>
      <c r="I36" s="121"/>
    </row>
    <row r="37" spans="1:15" ht="15" thickBot="1">
      <c r="A37" s="3292"/>
      <c r="B37" s="1553" t="s">
        <v>1312</v>
      </c>
      <c r="C37" s="139"/>
      <c r="D37" s="1069"/>
      <c r="E37" s="1069"/>
      <c r="F37" s="1652"/>
      <c r="G37" s="121"/>
      <c r="H37" s="121"/>
      <c r="I37" s="121"/>
    </row>
    <row r="38" spans="1:15" ht="15" thickBot="1">
      <c r="A38" s="3293"/>
      <c r="B38" s="1653" t="s">
        <v>1313</v>
      </c>
      <c r="C38" s="639"/>
      <c r="D38" s="1654" t="s">
        <v>1314</v>
      </c>
      <c r="E38" s="1069"/>
      <c r="F38" s="1652"/>
      <c r="G38" s="121"/>
      <c r="H38" s="121"/>
      <c r="I38" s="121"/>
    </row>
    <row r="39" spans="1:15" ht="14.4">
      <c r="A39" s="1631" t="s">
        <v>1315</v>
      </c>
      <c r="B39" s="1655" t="s">
        <v>1299</v>
      </c>
      <c r="C39" s="1656" t="s">
        <v>1300</v>
      </c>
      <c r="D39" s="1656" t="s">
        <v>1318</v>
      </c>
      <c r="E39" s="1657" t="s">
        <v>1301</v>
      </c>
      <c r="F39" s="1652"/>
      <c r="G39" s="121"/>
      <c r="H39" s="121"/>
      <c r="I39" s="121"/>
    </row>
    <row r="40" spans="1:15" ht="13.8">
      <c r="A40" s="1658" t="s">
        <v>1320</v>
      </c>
      <c r="B40" s="141"/>
      <c r="C40" s="142"/>
      <c r="D40" s="142"/>
      <c r="E40" s="143"/>
      <c r="F40" s="1652"/>
      <c r="G40" s="121"/>
      <c r="H40" s="121"/>
      <c r="I40" s="121"/>
    </row>
    <row r="41" spans="1:15" ht="13.8">
      <c r="A41" s="1658" t="s">
        <v>1321</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1322</v>
      </c>
      <c r="B44" s="1662"/>
      <c r="C44" s="1662"/>
      <c r="D44" s="1663"/>
      <c r="E44" s="1663"/>
      <c r="F44" s="1664"/>
      <c r="G44" s="1664"/>
      <c r="H44" s="1664"/>
      <c r="I44" s="1664"/>
      <c r="J44" s="1665" t="s">
        <v>1323</v>
      </c>
      <c r="K44" s="4"/>
      <c r="L44" s="4"/>
      <c r="M44" s="4"/>
      <c r="N44" s="4"/>
      <c r="O44" s="4"/>
    </row>
    <row r="45" spans="1:15" ht="14.25" customHeight="1" thickBot="1">
      <c r="A45" s="3268" t="s">
        <v>1324</v>
      </c>
      <c r="B45" s="3269"/>
      <c r="C45" s="3270"/>
      <c r="D45" s="3174">
        <f ca="1">典型户型修正!S25</f>
        <v>56659</v>
      </c>
      <c r="E45" s="148" t="s">
        <v>1325</v>
      </c>
      <c r="F45" s="149">
        <v>1</v>
      </c>
      <c r="G45" s="150" t="s">
        <v>1326</v>
      </c>
      <c r="H45" s="121"/>
      <c r="I45" s="121"/>
      <c r="J45" s="3346" t="s">
        <v>1327</v>
      </c>
      <c r="K45" s="3346"/>
      <c r="L45" s="3346"/>
      <c r="M45" s="3346"/>
      <c r="N45" s="3346"/>
      <c r="O45" s="3346"/>
    </row>
    <row r="46" spans="1:15" ht="14.25" customHeight="1">
      <c r="A46" s="3265" t="s">
        <v>1328</v>
      </c>
      <c r="B46" s="3266"/>
      <c r="C46" s="3266"/>
      <c r="D46" s="3266"/>
      <c r="E46" s="3266"/>
      <c r="F46" s="3266"/>
      <c r="G46" s="3267"/>
      <c r="H46" s="1666"/>
      <c r="I46" s="151"/>
      <c r="J46" s="2308">
        <v>1</v>
      </c>
      <c r="K46" s="3327" t="s">
        <v>1329</v>
      </c>
      <c r="L46" s="3327"/>
      <c r="M46" s="3347"/>
      <c r="N46" s="3347"/>
      <c r="O46" s="3347"/>
    </row>
    <row r="47" spans="1:15" ht="12" customHeight="1">
      <c r="A47" s="152" t="s">
        <v>1330</v>
      </c>
      <c r="B47" s="153"/>
      <c r="C47" s="154"/>
      <c r="D47" s="1022" t="s">
        <v>1331</v>
      </c>
      <c r="E47" s="294" t="s">
        <v>1332</v>
      </c>
      <c r="F47" s="155" t="s">
        <v>1333</v>
      </c>
      <c r="G47" s="2331" t="s">
        <v>1334</v>
      </c>
      <c r="H47" s="2332"/>
      <c r="I47" s="151"/>
      <c r="J47" s="2308">
        <v>2</v>
      </c>
      <c r="K47" s="3327" t="s">
        <v>1335</v>
      </c>
      <c r="L47" s="3327"/>
      <c r="M47" s="3348">
        <f>'数据-取费表'!B2</f>
        <v>45775</v>
      </c>
      <c r="N47" s="3348"/>
      <c r="O47" s="3348"/>
    </row>
    <row r="48" spans="1:15" ht="26.4">
      <c r="A48" s="3296" t="s">
        <v>1336</v>
      </c>
      <c r="B48" s="3279"/>
      <c r="C48" s="3279"/>
      <c r="D48" s="12">
        <f ca="1">IF(H48="情况1",0,IF(H48="情况2",D52,IF(H48="情况3",D53,IF(H48="情况4",D54))))</f>
        <v>2968</v>
      </c>
      <c r="E48" s="1254" t="str">
        <f>IF(H48="情况4","(销售额-原购置价)×税（费）率","销售额×税（费）率")</f>
        <v>销售额×税（费）率</v>
      </c>
      <c r="F48" s="2333">
        <f>IF(H48="情况1","免征",'数据-取费表'!B41)</f>
        <v>5.5000000000000007E-2</v>
      </c>
      <c r="G48" s="2334" t="s">
        <v>1337</v>
      </c>
      <c r="H48" s="2335" t="s">
        <v>3519</v>
      </c>
      <c r="I48" s="1666"/>
      <c r="J48" s="2308">
        <v>3</v>
      </c>
      <c r="K48" s="3327" t="s">
        <v>1338</v>
      </c>
      <c r="L48" s="3327"/>
      <c r="M48" s="3349">
        <f ca="1">D45</f>
        <v>56659</v>
      </c>
      <c r="N48" s="3349"/>
      <c r="O48" s="3349"/>
    </row>
    <row r="49" spans="1:35" ht="25.5" customHeight="1">
      <c r="A49" s="2150" t="s">
        <v>1339</v>
      </c>
      <c r="B49" s="3263" t="s">
        <v>1340</v>
      </c>
      <c r="C49" s="3263"/>
      <c r="D49" s="1476">
        <v>0</v>
      </c>
      <c r="E49" s="316" t="s">
        <v>1341</v>
      </c>
      <c r="F49" s="2231" t="s">
        <v>28</v>
      </c>
      <c r="G49" s="3333"/>
      <c r="H49" s="2132" t="s">
        <v>2131</v>
      </c>
      <c r="I49" s="2133"/>
      <c r="J49" s="2308">
        <v>4</v>
      </c>
      <c r="K49" s="3327" t="str">
        <f>IF(项目基本情况!E8="房地产抵押价值","房地产抵押价值","抵押担保权已注销时的房地产抵押价值")</f>
        <v>房地产抵押价值</v>
      </c>
      <c r="L49" s="3327"/>
      <c r="M49" s="3349">
        <f ca="1">D45</f>
        <v>56659</v>
      </c>
      <c r="N49" s="3349"/>
      <c r="O49" s="3349"/>
    </row>
    <row r="50" spans="1:35" ht="25.5" customHeight="1">
      <c r="A50" s="2336"/>
      <c r="B50" s="3263" t="s">
        <v>1342</v>
      </c>
      <c r="C50" s="3263"/>
      <c r="D50" s="2187"/>
      <c r="E50" s="323"/>
      <c r="F50" s="2231"/>
      <c r="G50" s="3334"/>
      <c r="H50" s="2134" t="s">
        <v>2132</v>
      </c>
      <c r="I50" s="2133"/>
      <c r="J50" s="3346" t="s">
        <v>1343</v>
      </c>
      <c r="K50" s="3346"/>
      <c r="L50" s="3346"/>
      <c r="M50" s="3346"/>
      <c r="N50" s="3346"/>
      <c r="O50" s="3346"/>
    </row>
    <row r="51" spans="1:35" ht="20.399999999999999" customHeight="1">
      <c r="A51" s="2337"/>
      <c r="B51" s="3263" t="s">
        <v>1344</v>
      </c>
      <c r="C51" s="3263"/>
      <c r="D51" s="1022"/>
      <c r="E51" s="319"/>
      <c r="F51" s="2231"/>
      <c r="G51" s="3335"/>
      <c r="H51" s="2134" t="s">
        <v>2133</v>
      </c>
      <c r="I51" s="2133"/>
      <c r="J51" s="2309" t="s">
        <v>1345</v>
      </c>
      <c r="K51" s="3327" t="s">
        <v>1346</v>
      </c>
      <c r="L51" s="3327"/>
      <c r="M51" s="2309" t="s">
        <v>1347</v>
      </c>
      <c r="N51" s="2309" t="s">
        <v>1348</v>
      </c>
      <c r="O51" s="2309" t="s">
        <v>1349</v>
      </c>
    </row>
    <row r="52" spans="1:35" ht="24" customHeight="1">
      <c r="A52" s="2151" t="s">
        <v>1350</v>
      </c>
      <c r="B52" s="3263" t="s">
        <v>1351</v>
      </c>
      <c r="C52" s="3263"/>
      <c r="D52" s="1022">
        <f ca="1">ROUND(D45*'数据-取费表'!B41/(1+'数据-取费表'!C42),0)</f>
        <v>2968</v>
      </c>
      <c r="E52" s="1254" t="s">
        <v>1352</v>
      </c>
      <c r="F52" s="2338">
        <f>'数据-取费表'!B41</f>
        <v>5.5000000000000007E-2</v>
      </c>
      <c r="G52" s="2339"/>
      <c r="H52" s="2329"/>
      <c r="I52" s="1667"/>
      <c r="J52" s="2308">
        <v>1</v>
      </c>
      <c r="K52" s="3328" t="s">
        <v>1353</v>
      </c>
      <c r="L52" s="3328"/>
      <c r="M52" s="2310">
        <f ca="1">D48</f>
        <v>2968</v>
      </c>
      <c r="N52" s="2308" t="str">
        <f>E48</f>
        <v>销售额×税（费）率</v>
      </c>
      <c r="O52" s="2311">
        <f>F48</f>
        <v>5.5000000000000007E-2</v>
      </c>
      <c r="P52" s="682">
        <f ca="1">M52</f>
        <v>2968</v>
      </c>
    </row>
    <row r="53" spans="1:35" ht="12" customHeight="1">
      <c r="A53" s="2151" t="s">
        <v>1354</v>
      </c>
      <c r="B53" s="3289" t="s">
        <v>2288</v>
      </c>
      <c r="C53" s="3290"/>
      <c r="D53" s="1022">
        <f ca="1">ROUND(D45*'数据-取费表'!B41/(1+'数据-取费表'!C42),0)</f>
        <v>2968</v>
      </c>
      <c r="E53" s="1254" t="s">
        <v>1352</v>
      </c>
      <c r="F53" s="2338">
        <f>'数据-取费表'!B41</f>
        <v>5.5000000000000007E-2</v>
      </c>
      <c r="G53" s="2339"/>
      <c r="H53" s="2329"/>
      <c r="I53" s="1667"/>
      <c r="J53" s="2308">
        <v>2</v>
      </c>
      <c r="K53" s="3328" t="s">
        <v>1355</v>
      </c>
      <c r="L53" s="3328"/>
      <c r="M53" s="2310">
        <f t="shared" ref="M53:O54" ca="1" si="0">D55</f>
        <v>28</v>
      </c>
      <c r="N53" s="2308" t="str">
        <f t="shared" si="0"/>
        <v>销售额×税（费）率</v>
      </c>
      <c r="O53" s="2311">
        <f t="shared" si="0"/>
        <v>5.0000000000000001E-4</v>
      </c>
      <c r="P53" s="682">
        <f ca="1">M53</f>
        <v>28</v>
      </c>
    </row>
    <row r="54" spans="1:35" ht="12" customHeight="1">
      <c r="A54" s="2151" t="s">
        <v>1356</v>
      </c>
      <c r="B54" s="3289" t="s">
        <v>2289</v>
      </c>
      <c r="C54" s="3290"/>
      <c r="D54" s="1022">
        <f ca="1">C68</f>
        <v>2968</v>
      </c>
      <c r="E54" s="319" t="s">
        <v>1357</v>
      </c>
      <c r="F54" s="2338">
        <f>'数据-取费表'!B41</f>
        <v>5.5000000000000007E-2</v>
      </c>
      <c r="G54" s="2339"/>
      <c r="H54" s="2340"/>
      <c r="I54" s="1667"/>
      <c r="J54" s="2308">
        <v>3</v>
      </c>
      <c r="K54" s="3328" t="s">
        <v>1358</v>
      </c>
      <c r="L54" s="3328"/>
      <c r="M54" s="2310">
        <f t="shared" ca="1" si="0"/>
        <v>32120</v>
      </c>
      <c r="N54" s="2308" t="str">
        <f t="shared" si="0"/>
        <v>增值额×税（费）率</v>
      </c>
      <c r="O54" s="2312" t="str">
        <f t="shared" si="0"/>
        <v>——</v>
      </c>
      <c r="P54" s="682">
        <f ca="1">ROUND(D45/1.05*0.05,0)</f>
        <v>2698</v>
      </c>
    </row>
    <row r="55" spans="1:35" ht="24" customHeight="1">
      <c r="A55" s="3278" t="s">
        <v>1359</v>
      </c>
      <c r="B55" s="3279"/>
      <c r="C55" s="3279"/>
      <c r="D55" s="12">
        <f ca="1">IF(H55="个人住宅",0,ROUND(D45*I55,0))</f>
        <v>28</v>
      </c>
      <c r="E55" s="1254" t="s">
        <v>1360</v>
      </c>
      <c r="F55" s="2338">
        <f>IF(H55="正常",I55,"免征")</f>
        <v>5.0000000000000001E-4</v>
      </c>
      <c r="G55" s="2339"/>
      <c r="H55" s="2335" t="s">
        <v>3486</v>
      </c>
      <c r="I55" s="157">
        <f>'数据-取费表'!B49</f>
        <v>5.0000000000000001E-4</v>
      </c>
      <c r="J55" s="2308" t="str">
        <f>IF(H59="非个人房产","",4)</f>
        <v/>
      </c>
      <c r="K55" s="3328" t="str">
        <f>IF(H59="非个人房产","——","个人所得税")</f>
        <v>——</v>
      </c>
      <c r="L55" s="3328"/>
      <c r="M55" s="2313" t="str">
        <f>D59</f>
        <v>——</v>
      </c>
      <c r="N55" s="1881" t="str">
        <f>E59</f>
        <v>——</v>
      </c>
      <c r="O55" s="2314" t="str">
        <f>F59</f>
        <v>——</v>
      </c>
    </row>
    <row r="56" spans="1:35" ht="25.2">
      <c r="A56" s="3278" t="s">
        <v>1361</v>
      </c>
      <c r="B56" s="3279"/>
      <c r="C56" s="3279"/>
      <c r="D56" s="12">
        <f ca="1">IF(H56="个人住宅",D57,D58)</f>
        <v>32120</v>
      </c>
      <c r="E56" s="1254" t="s">
        <v>1362</v>
      </c>
      <c r="F56" s="2338" t="str">
        <f>IF(H56="正常",F58,"免征")</f>
        <v>——</v>
      </c>
      <c r="G56" s="2341" t="s">
        <v>1363</v>
      </c>
      <c r="H56" s="2342" t="s">
        <v>3486</v>
      </c>
      <c r="I56" s="1668"/>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3.2">
      <c r="A57" s="2151" t="s">
        <v>1339</v>
      </c>
      <c r="B57" s="3289" t="s">
        <v>1364</v>
      </c>
      <c r="C57" s="3290"/>
      <c r="D57" s="1476">
        <v>0</v>
      </c>
      <c r="E57" s="316" t="s">
        <v>1341</v>
      </c>
      <c r="F57" s="294"/>
      <c r="G57" s="2339"/>
      <c r="H57" s="2343"/>
      <c r="I57" s="1668"/>
      <c r="J57" s="3328">
        <f>IF(AND(J55="",J56=""),4,IF(项目基本情况!K6="上海银行",'结果表(13号楼净值)'!J56+1,'结果表(13号楼净值)'!J55+1))</f>
        <v>4</v>
      </c>
      <c r="K57" s="3328" t="s">
        <v>1365</v>
      </c>
      <c r="L57" s="2315" t="s">
        <v>1366</v>
      </c>
      <c r="M57" s="2316"/>
      <c r="N57" s="2317">
        <f ca="1">SUMIF(M52:M56,"&lt;9e307")</f>
        <v>35116</v>
      </c>
      <c r="O57" s="2318"/>
      <c r="P57" s="682">
        <f ca="1">P54+P52+P53</f>
        <v>5694</v>
      </c>
      <c r="Q57" s="682">
        <f ca="1">P57/M48</f>
        <v>0.10049594945198469</v>
      </c>
    </row>
    <row r="58" spans="1:35" ht="25.2">
      <c r="A58" s="2151" t="s">
        <v>1350</v>
      </c>
      <c r="B58" s="3289" t="s">
        <v>1367</v>
      </c>
      <c r="C58" s="3263"/>
      <c r="D58" s="12">
        <f ca="1">IF(H58="转让取得",C81,C97)</f>
        <v>32120</v>
      </c>
      <c r="E58" s="1254" t="s">
        <v>1362</v>
      </c>
      <c r="F58" s="294" t="s">
        <v>28</v>
      </c>
      <c r="G58" s="2339"/>
      <c r="H58" s="2342" t="s">
        <v>3520</v>
      </c>
      <c r="I58" s="1668"/>
      <c r="J58" s="3328"/>
      <c r="K58" s="3328"/>
      <c r="L58" s="2315" t="s">
        <v>1368</v>
      </c>
      <c r="M58" s="2319"/>
      <c r="N58" s="2320" t="str">
        <f ca="1">NUMBERSTRING(INT(N57*10000),2)&amp;"元整"</f>
        <v>叁亿伍仟壹佰壹拾陆万元整</v>
      </c>
      <c r="O58" s="2321"/>
    </row>
    <row r="59" spans="1:35" ht="24.6" thickBot="1">
      <c r="A59" s="3331" t="s">
        <v>1369</v>
      </c>
      <c r="B59" s="3332"/>
      <c r="C59" s="3332"/>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1363</v>
      </c>
      <c r="H59" s="2136" t="s">
        <v>3521</v>
      </c>
      <c r="I59" s="2135" t="s">
        <v>2134</v>
      </c>
      <c r="J59" s="3329">
        <f>J57+1</f>
        <v>5</v>
      </c>
      <c r="K59" s="3328" t="s">
        <v>1370</v>
      </c>
      <c r="L59" s="2308" t="s">
        <v>1366</v>
      </c>
      <c r="M59" s="2322"/>
      <c r="N59" s="2323">
        <f ca="1">M49-N57</f>
        <v>21543</v>
      </c>
      <c r="O59" s="2324"/>
      <c r="P59" s="682">
        <f ca="1">M48-P57</f>
        <v>50965</v>
      </c>
    </row>
    <row r="60" spans="1:35" ht="12" customHeight="1">
      <c r="A60" s="1669"/>
      <c r="B60" s="644"/>
      <c r="C60" s="644"/>
      <c r="D60" s="644"/>
      <c r="E60" s="1464"/>
      <c r="F60" s="1668"/>
      <c r="G60" s="1668"/>
      <c r="H60" s="151"/>
      <c r="I60" s="121"/>
      <c r="J60" s="3330"/>
      <c r="K60" s="3328"/>
      <c r="L60" s="2315" t="s">
        <v>1368</v>
      </c>
      <c r="M60" s="2319"/>
      <c r="N60" s="2320" t="str">
        <f ca="1">NUMBERSTRING(INT(N59*10000),2)&amp;"元整"</f>
        <v>贰亿壹仟伍佰肆拾叁万元整</v>
      </c>
      <c r="O60" s="2321"/>
    </row>
    <row r="61" spans="1:35" ht="13.8" thickBot="1">
      <c r="A61" s="3276" t="s">
        <v>1371</v>
      </c>
      <c r="B61" s="3276"/>
      <c r="C61" s="3276"/>
      <c r="D61" s="3276"/>
      <c r="E61" s="3276"/>
      <c r="F61" s="1668"/>
      <c r="G61" s="1668"/>
      <c r="H61" s="151"/>
      <c r="I61" s="121"/>
      <c r="J61" s="2308">
        <f>J59+1</f>
        <v>6</v>
      </c>
      <c r="K61" s="3328" t="s">
        <v>1372</v>
      </c>
      <c r="L61" s="3328"/>
      <c r="M61" s="2325"/>
      <c r="N61" s="2326">
        <f ca="1">ROUND(N59*10000/'数据-汇总表'!E3,0)</f>
        <v>5857</v>
      </c>
      <c r="O61" s="2327"/>
      <c r="P61" s="682">
        <f ca="1">ROUND(P59/'数据-汇总表'!E20*10000,0)</f>
        <v>20150</v>
      </c>
    </row>
    <row r="62" spans="1:35" ht="13.2">
      <c r="A62" s="3294" t="s">
        <v>1373</v>
      </c>
      <c r="B62" s="3295"/>
      <c r="C62" s="1863"/>
      <c r="D62" s="1863" t="s">
        <v>1374</v>
      </c>
      <c r="E62" s="158" t="s">
        <v>1375</v>
      </c>
      <c r="F62" s="1668"/>
      <c r="G62" s="1668"/>
      <c r="H62" s="151"/>
      <c r="I62" s="121"/>
    </row>
    <row r="63" spans="1:35" ht="13.2">
      <c r="A63" s="165" t="s">
        <v>330</v>
      </c>
      <c r="B63" s="159" t="s">
        <v>1376</v>
      </c>
      <c r="C63" s="2348">
        <f ca="1">ROUND((C64+C65)/(1+'数据-取费表'!C42),0)</f>
        <v>53961</v>
      </c>
      <c r="D63" s="159"/>
      <c r="E63" s="160"/>
      <c r="F63" s="1668"/>
      <c r="G63" s="1668"/>
      <c r="H63" s="151"/>
      <c r="I63" s="121"/>
      <c r="J63" s="3353" t="s">
        <v>1377</v>
      </c>
      <c r="K63" s="1243" t="s">
        <v>1378</v>
      </c>
      <c r="L63" s="1243">
        <f ca="1">IF(M49&gt;10000,M49*0.5%,IF(AND(M49&gt;1000,M49&lt;=10000),M49*1%,IF(AND(M49&gt;100,M49&lt;=1000),M49*3%,IF(AND(M49&gt;10,M49&lt;=100),M49*5%,M49*8%))))</f>
        <v>283.29500000000002</v>
      </c>
      <c r="M63" s="294">
        <f ca="1">ROUND(L63,1)</f>
        <v>283.3</v>
      </c>
      <c r="N63" s="2328"/>
      <c r="Z63" s="1621"/>
      <c r="AI63" s="1559"/>
    </row>
    <row r="64" spans="1:35" ht="14.25" customHeight="1">
      <c r="A64" s="161" t="s">
        <v>325</v>
      </c>
      <c r="B64" s="162" t="s">
        <v>1379</v>
      </c>
      <c r="C64" s="2349">
        <f ca="1">D45</f>
        <v>56659</v>
      </c>
      <c r="D64" s="162" t="s">
        <v>26</v>
      </c>
      <c r="E64" s="164"/>
      <c r="F64" s="1668"/>
      <c r="G64" s="1668"/>
      <c r="H64" s="151"/>
      <c r="I64" s="121"/>
      <c r="J64" s="3353"/>
      <c r="K64" s="1243" t="s">
        <v>1380</v>
      </c>
      <c r="L64" s="1243">
        <f ca="1">IF(M49&gt;2000,M49*0.5%,IF(AND(M49&gt;1000,M49&lt;=2000),M49*0.6%,IF(AND(M49&gt;500,M49&lt;=1000),M49*0.7%,IF(AND(M49&gt;200,M49&lt;=500),M49*0.8%,IF(AND(M49&gt;100,M49&lt;=200),M49*0.9%,IF(AND(M49&gt;50,M49&lt;=100),M49*1%,IF(AND(M49&gt;20,M49&lt;=50),M49*1.5%,IF(AND(M49&gt;10,M49&lt;=20),M49*2%,IF(AND(M49&gt;1,M49&lt;=10),M49*2.5%)))))))))</f>
        <v>283.29500000000002</v>
      </c>
      <c r="M64" s="294">
        <f t="shared" ref="M64:M65" ca="1" si="1">ROUND(L64,1)</f>
        <v>283.3</v>
      </c>
      <c r="N64" s="2329" t="s">
        <v>1381</v>
      </c>
      <c r="Z64" s="1621"/>
      <c r="AI64" s="1559"/>
    </row>
    <row r="65" spans="1:35" ht="14.25" customHeight="1">
      <c r="A65" s="161" t="s">
        <v>326</v>
      </c>
      <c r="B65" s="162" t="s">
        <v>1382</v>
      </c>
      <c r="C65" s="2350"/>
      <c r="D65" s="162"/>
      <c r="E65" s="164"/>
      <c r="F65" s="1668"/>
      <c r="G65" s="1668"/>
      <c r="H65" s="151"/>
      <c r="I65" s="121"/>
      <c r="J65" s="3353"/>
      <c r="K65" s="1243" t="s">
        <v>1383</v>
      </c>
      <c r="L65" s="1243">
        <f ca="1">IF(M49&gt;1000,M49*0.1%,IF(AND(M49&gt;500,M49&lt;=1000),M49*0.5%,IF(AND(M49&gt;50,M49&lt;=500),M49*1%,IF(AND(M49&gt;1,M49&lt;=50),M49*1.5%))))</f>
        <v>56.658999999999999</v>
      </c>
      <c r="M65" s="294">
        <f t="shared" ca="1" si="1"/>
        <v>56.7</v>
      </c>
      <c r="N65" s="2329" t="s">
        <v>1381</v>
      </c>
      <c r="Z65" s="1621"/>
      <c r="AI65" s="1559"/>
    </row>
    <row r="66" spans="1:35" ht="14.25" customHeight="1">
      <c r="A66" s="165" t="s">
        <v>327</v>
      </c>
      <c r="B66" s="166" t="s">
        <v>1384</v>
      </c>
      <c r="C66" s="2351"/>
      <c r="D66" s="166" t="s">
        <v>26</v>
      </c>
      <c r="E66" s="1249" t="s">
        <v>669</v>
      </c>
      <c r="F66" s="1668"/>
      <c r="G66" s="1668"/>
      <c r="H66" s="151"/>
      <c r="I66" s="121"/>
      <c r="J66" s="3353"/>
      <c r="K66" s="1243" t="s">
        <v>1385</v>
      </c>
      <c r="L66" s="1243">
        <f ca="1">M49*0.5%</f>
        <v>283.29500000000002</v>
      </c>
      <c r="M66" s="294">
        <f ca="1">IF(L66&gt;0.5,0.5,ROUND(L66,0))</f>
        <v>0.5</v>
      </c>
      <c r="N66" s="2329" t="s">
        <v>1386</v>
      </c>
      <c r="Z66" s="1621"/>
      <c r="AI66" s="1559"/>
    </row>
    <row r="67" spans="1:35" ht="14.25" customHeight="1">
      <c r="A67" s="165" t="s">
        <v>328</v>
      </c>
      <c r="B67" s="166" t="s">
        <v>1387</v>
      </c>
      <c r="C67" s="2352">
        <f ca="1">C63-C66</f>
        <v>53961</v>
      </c>
      <c r="D67" s="162" t="s">
        <v>26</v>
      </c>
      <c r="E67" s="164"/>
      <c r="F67" s="1668"/>
      <c r="G67" s="1668"/>
      <c r="H67" s="151"/>
      <c r="I67" s="121"/>
      <c r="J67" s="3353"/>
      <c r="K67" s="1243" t="s">
        <v>1388</v>
      </c>
      <c r="L67" s="1243">
        <f ca="1">IF(M49&gt;=10000,(8.25+(M49-10000)*0.01%),IF(AND(M49&gt;=8000,M49&lt;10000),(7.85+(M49-8000)*0.02%),IF(AND(M49&gt;=5000,M49&lt;8000),(6.65+(M49-5000)*0.04%),IF(AND(M49&gt;=2000,M49&lt;5000),(4.25+(PM49-2000)*0.08%),IF(AND(M49&gt;=1000,M49&lt;2000),(2.75+(M49-1000)*0.15%),IF(AND(M49&gt;=100,M49&lt;1000),(0.5+(M49-100)*0.25%),IF(AND(M49&gt;0,M49&lt;100),M49*0.5%)))))))</f>
        <v>12.915900000000001</v>
      </c>
      <c r="M67" s="294">
        <f ca="1">ROUND(L67*0.9,1)</f>
        <v>11.6</v>
      </c>
      <c r="N67" s="2328"/>
      <c r="Z67" s="1621"/>
      <c r="AI67" s="1559"/>
    </row>
    <row r="68" spans="1:35" ht="14.25" customHeight="1" thickBot="1">
      <c r="A68" s="168" t="s">
        <v>329</v>
      </c>
      <c r="B68" s="169" t="s">
        <v>1389</v>
      </c>
      <c r="C68" s="2353">
        <f ca="1">IF(C67&lt;=0,0,ROUND(C67*D68,0))</f>
        <v>2968</v>
      </c>
      <c r="D68" s="2354">
        <f>'数据-取费表'!B41</f>
        <v>5.5000000000000007E-2</v>
      </c>
      <c r="E68" s="170"/>
      <c r="F68" s="1668"/>
      <c r="G68" s="1668"/>
      <c r="H68" s="151"/>
      <c r="I68" s="121"/>
      <c r="J68" s="3353"/>
      <c r="K68" s="1243" t="s">
        <v>1390</v>
      </c>
      <c r="L68" s="1243">
        <f ca="1">IF(M49&gt;10000,M49*0.5%,IF(AND(M49&gt;5000,M49&lt;=10000),M49*1%,IF(AND(M49&gt;1000,M49&lt;=5000),M49*2%,IF(AND(M49&gt;200,M49&lt;=1000),M49*3%,M49*5%))))</f>
        <v>283.29500000000002</v>
      </c>
      <c r="M68" s="294">
        <f ca="1">ROUND(L68,1)</f>
        <v>283.3</v>
      </c>
      <c r="N68" s="2328"/>
      <c r="Z68" s="1621"/>
      <c r="AI68" s="1559"/>
    </row>
    <row r="69" spans="1:35" ht="16.5" customHeight="1">
      <c r="A69" s="1670"/>
      <c r="B69" s="1671"/>
      <c r="C69" s="1672"/>
      <c r="D69" s="1673"/>
      <c r="E69" s="1674"/>
      <c r="F69" s="1464"/>
      <c r="G69" s="1464"/>
      <c r="H69" s="1465"/>
      <c r="I69" s="644"/>
      <c r="J69" s="3353"/>
      <c r="K69" s="1243" t="s">
        <v>1391</v>
      </c>
      <c r="L69" s="1243"/>
      <c r="M69" s="294">
        <f ca="1">ROUND(SUM(M63:M68),0)</f>
        <v>919</v>
      </c>
      <c r="N69" s="2330">
        <f ca="1">M69/M49</f>
        <v>1.6219841507968725E-2</v>
      </c>
      <c r="Z69" s="1621"/>
      <c r="AI69" s="1559"/>
    </row>
    <row r="70" spans="1:35" s="640" customFormat="1" ht="14.4" thickBot="1">
      <c r="A70" s="3315" t="s">
        <v>1392</v>
      </c>
      <c r="B70" s="3316"/>
      <c r="C70" s="3316"/>
      <c r="D70" s="3316"/>
      <c r="E70" s="3316"/>
      <c r="F70" s="3316"/>
      <c r="G70" s="3316"/>
      <c r="H70" s="331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4" t="s">
        <v>1373</v>
      </c>
      <c r="B71" s="3295"/>
      <c r="C71" s="1863"/>
      <c r="D71" s="1863" t="s">
        <v>1374</v>
      </c>
      <c r="E71" s="171" t="s">
        <v>1375</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5" t="s">
        <v>330</v>
      </c>
      <c r="B72" s="166" t="s">
        <v>1393</v>
      </c>
      <c r="C72" s="2352">
        <f ca="1">ROUND(D45/(1+'数据-取费表'!C42),0)</f>
        <v>53961</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5" t="s">
        <v>327</v>
      </c>
      <c r="B73" s="155" t="s">
        <v>1394</v>
      </c>
      <c r="C73" s="2352">
        <f ca="1">C74+C78</f>
        <v>270</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1395</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61" t="s">
        <v>331</v>
      </c>
      <c r="B75" s="162" t="s">
        <v>1396</v>
      </c>
      <c r="C75" s="2355"/>
      <c r="D75" s="162" t="s">
        <v>26</v>
      </c>
      <c r="E75" s="176" t="s">
        <v>1397</v>
      </c>
      <c r="F75" s="2356"/>
      <c r="G75" s="176" t="s">
        <v>1398</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1399</v>
      </c>
      <c r="C76" s="162">
        <f>IF(F75="购房发票",ROUND(C75*H75*D76,0),0)</f>
        <v>0</v>
      </c>
      <c r="D76" s="2358">
        <v>0.05</v>
      </c>
      <c r="E76" s="3289" t="s">
        <v>1400</v>
      </c>
      <c r="F76" s="3263"/>
      <c r="G76" s="3263"/>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1403</v>
      </c>
      <c r="C78" s="2360">
        <f ca="1">ROUND(D45*D78/(1+'数据-取费表'!C42),0)</f>
        <v>270</v>
      </c>
      <c r="D78" s="2361">
        <f>'数据-取费表'!B43</f>
        <v>5.000000000000001E-3</v>
      </c>
      <c r="E78" s="3273" t="s">
        <v>1404</v>
      </c>
      <c r="F78" s="3274"/>
      <c r="G78" s="3274"/>
      <c r="H78" s="328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5" t="s">
        <v>328</v>
      </c>
      <c r="B79" s="166" t="s">
        <v>1405</v>
      </c>
      <c r="C79" s="2352">
        <f ca="1">C72-C73</f>
        <v>53691</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1406</v>
      </c>
      <c r="C80" s="2362">
        <f ca="1">IF(C79&lt;=0,0,C79/C73)</f>
        <v>198.85555555555555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8" t="s">
        <v>336</v>
      </c>
      <c r="B81" s="169" t="s">
        <v>1407</v>
      </c>
      <c r="C81" s="2363">
        <f ca="1">ROUND(IF(C79&lt;=0,0,IF(C80&gt;=200%,C79*60%-C73*35%,IF(C80&gt;=100%,C79*50%-C73*15%,IF(C80&gt;=50%,C79*40%-C73*5%,IF(C80&lt;50%,C79*30%,0))))),0)</f>
        <v>32120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5" t="s">
        <v>1408</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4" t="s">
        <v>1373</v>
      </c>
      <c r="B84" s="3295"/>
      <c r="C84" s="1863"/>
      <c r="D84" s="1863" t="s">
        <v>1374</v>
      </c>
      <c r="E84" s="171" t="s">
        <v>1375</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5" t="s">
        <v>330</v>
      </c>
      <c r="B85" s="166" t="s">
        <v>1393</v>
      </c>
      <c r="C85" s="2352">
        <f ca="1">ROUND(D45/(1+'数据-取费表'!C42),0)</f>
        <v>53961</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5" t="s">
        <v>327</v>
      </c>
      <c r="B86" s="155" t="s">
        <v>1394</v>
      </c>
      <c r="C86" s="2352">
        <f ca="1">IF(H88="仅含出让金",C87+C90+C91+C92+C93+C94,C87+C91+C92+C93+C94)</f>
        <v>270</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61" t="s">
        <v>325</v>
      </c>
      <c r="B87" s="162" t="s">
        <v>1409</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61" t="s">
        <v>331</v>
      </c>
      <c r="B88" s="162" t="s">
        <v>1410</v>
      </c>
      <c r="C88" s="2366"/>
      <c r="D88" s="2361"/>
      <c r="E88" s="185" t="s">
        <v>1411</v>
      </c>
      <c r="F88" s="2146"/>
      <c r="G88" s="186" t="s">
        <v>1412</v>
      </c>
      <c r="H88" s="1682"/>
      <c r="I88" s="1679"/>
      <c r="J88" s="2306"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61" t="s">
        <v>332</v>
      </c>
      <c r="B89" s="162" t="s">
        <v>1401</v>
      </c>
      <c r="C89" s="2360">
        <f>ROUND(C88*D89,0)</f>
        <v>0</v>
      </c>
      <c r="D89" s="2361">
        <f>'数据-取费表'!B48+'数据-取费表'!B49</f>
        <v>3.0499999999999999E-2</v>
      </c>
      <c r="E89" s="185" t="s">
        <v>1413</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61" t="s">
        <v>326</v>
      </c>
      <c r="B90" s="162" t="s">
        <v>1414</v>
      </c>
      <c r="C90" s="2366"/>
      <c r="D90" s="2361"/>
      <c r="E90" s="185" t="str">
        <f>IF(H88="-","土地取得成本中已包含该笔费用"," ")</f>
        <v xml:space="preserve"> </v>
      </c>
      <c r="F90" s="2146"/>
      <c r="G90" s="3355" t="s">
        <v>2126</v>
      </c>
      <c r="H90" s="3356"/>
      <c r="I90" s="1679"/>
      <c r="J90" s="2306"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1415</v>
      </c>
      <c r="B91" s="162" t="s">
        <v>1416</v>
      </c>
      <c r="C91" s="2360">
        <f>IF(H91="——",成本法!C33,I91)</f>
        <v>0</v>
      </c>
      <c r="D91" s="2361"/>
      <c r="E91" s="3273" t="s">
        <v>1417</v>
      </c>
      <c r="F91" s="3274"/>
      <c r="G91" s="327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1418</v>
      </c>
      <c r="B92" s="162" t="s">
        <v>1419</v>
      </c>
      <c r="C92" s="2360">
        <f>ROUND((C87+C90+C91)*D92,0)</f>
        <v>0</v>
      </c>
      <c r="D92" s="2367"/>
      <c r="E92" s="3273" t="s">
        <v>1420</v>
      </c>
      <c r="F92" s="3274"/>
      <c r="G92" s="3274"/>
      <c r="H92" s="3283"/>
      <c r="I92" s="1679"/>
      <c r="J92" s="2307"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1421</v>
      </c>
      <c r="B93" s="162" t="s">
        <v>1403</v>
      </c>
      <c r="C93" s="2360">
        <f ca="1">ROUND(D45*D93/(1+'数据-取费表'!C42),0)</f>
        <v>270</v>
      </c>
      <c r="D93" s="2361">
        <f>'数据-取费表'!B43</f>
        <v>5.000000000000001E-3</v>
      </c>
      <c r="E93" s="3273" t="s">
        <v>1404</v>
      </c>
      <c r="F93" s="3274"/>
      <c r="G93" s="3274"/>
      <c r="H93" s="328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1422</v>
      </c>
      <c r="B94" s="162" t="s">
        <v>1423</v>
      </c>
      <c r="C94" s="2366">
        <f>ROUND((C87+C90+C91)*D94,0)</f>
        <v>0</v>
      </c>
      <c r="D94" s="2361">
        <v>0.2</v>
      </c>
      <c r="E94" s="3284" t="s">
        <v>1424</v>
      </c>
      <c r="F94" s="3285"/>
      <c r="G94" s="3285"/>
      <c r="H94" s="32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5" t="s">
        <v>328</v>
      </c>
      <c r="B95" s="166" t="s">
        <v>1405</v>
      </c>
      <c r="C95" s="2352">
        <f ca="1">ROUND(C85-C86,0)</f>
        <v>53691</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1406</v>
      </c>
      <c r="C96" s="2362">
        <f ca="1">IF(C95&lt;=0,0,C95/C86)</f>
        <v>198.85555555555555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8" t="s">
        <v>336</v>
      </c>
      <c r="B97" s="169" t="s">
        <v>1407</v>
      </c>
      <c r="C97" s="2363">
        <f ca="1">ROUND(IF(C95&lt;=0,0,IF(C96&gt;=200%,C95*60%-C86*35%,IF(C96&gt;=100%,C95*50%-C86*15%,IF(C96&gt;=50%,C95*40%-C86*5%,IF(C96&lt;50%,C95*30%,0))))),0)</f>
        <v>32120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1425</v>
      </c>
      <c r="B99" s="644"/>
      <c r="C99" s="644"/>
      <c r="D99" s="644"/>
      <c r="E99" s="1464"/>
      <c r="F99" s="1464"/>
      <c r="G99" s="1464"/>
      <c r="H99" s="1465"/>
      <c r="I99" s="121"/>
    </row>
    <row r="100" spans="1:35" ht="18.75" customHeight="1">
      <c r="A100" s="3257" t="s">
        <v>1426</v>
      </c>
      <c r="B100" s="3258"/>
      <c r="C100" s="3258"/>
      <c r="D100" s="3275"/>
      <c r="E100" s="3258" t="s">
        <v>1427</v>
      </c>
      <c r="F100" s="3258"/>
      <c r="G100" s="3258"/>
      <c r="H100" s="3275"/>
      <c r="I100" s="121"/>
    </row>
    <row r="101" spans="1:35" ht="18.75" customHeight="1">
      <c r="A101" s="3336" t="s">
        <v>1428</v>
      </c>
      <c r="B101" s="3337"/>
      <c r="C101" s="2369" t="str">
        <f>C4</f>
        <v>比较法-办公</v>
      </c>
      <c r="D101" s="2370" t="str">
        <f>D4</f>
        <v>收益法（12号楼）</v>
      </c>
      <c r="E101" s="3350" t="s">
        <v>1429</v>
      </c>
      <c r="F101" s="3307"/>
      <c r="G101" s="1685" t="s">
        <v>1430</v>
      </c>
      <c r="H101" s="2379">
        <f ca="1">H118</f>
        <v>27640</v>
      </c>
      <c r="I101" s="121"/>
    </row>
    <row r="102" spans="1:35" ht="18.75" customHeight="1">
      <c r="A102" s="3309" t="s">
        <v>1431</v>
      </c>
      <c r="B102" s="2368" t="s">
        <v>1430</v>
      </c>
      <c r="C102" s="2369">
        <f ca="1">IF(D32="楼面单价",ROUND(C19,0),C19)</f>
        <v>30059</v>
      </c>
      <c r="D102" s="2370">
        <f ca="1">IF(D32="楼面单价",ROUND(D19,0),D19)</f>
        <v>21997</v>
      </c>
      <c r="E102" s="3350"/>
      <c r="F102" s="3307"/>
      <c r="G102" s="1685" t="s">
        <v>1432</v>
      </c>
      <c r="H102" s="2339">
        <f ca="1">I118</f>
        <v>24060</v>
      </c>
      <c r="I102" s="121"/>
    </row>
    <row r="103" spans="1:35" ht="42.75" customHeight="1">
      <c r="A103" s="3309"/>
      <c r="B103" s="2368" t="s">
        <v>1432</v>
      </c>
      <c r="C103" s="2371">
        <f ca="1">C20</f>
        <v>26166</v>
      </c>
      <c r="D103" s="2372">
        <f ca="1">D20</f>
        <v>19148</v>
      </c>
      <c r="E103" s="3344" t="s">
        <v>1433</v>
      </c>
      <c r="F103" s="3345"/>
      <c r="G103" s="1686" t="s">
        <v>1434</v>
      </c>
      <c r="H103" s="2379">
        <f>IF(D36="正常操作",H104+H105+H106,H105+H106)</f>
        <v>0</v>
      </c>
      <c r="I103" s="121"/>
    </row>
    <row r="104" spans="1:35" ht="18.75" customHeight="1">
      <c r="A104" s="3309" t="s">
        <v>1435</v>
      </c>
      <c r="B104" s="2373" t="s">
        <v>1430</v>
      </c>
      <c r="C104" s="2374">
        <f ca="1">H118</f>
        <v>27640</v>
      </c>
      <c r="D104" s="2375"/>
      <c r="E104" s="1553" t="s">
        <v>1436</v>
      </c>
      <c r="F104" s="1546"/>
      <c r="G104" s="1686" t="s">
        <v>1434</v>
      </c>
      <c r="H104" s="2380">
        <f>IF(D36="同一抵押权人同一抵押物续贷",C36&amp;"（续贷，未扣减，详见特别提示）",C36)</f>
        <v>0</v>
      </c>
      <c r="I104" s="121"/>
    </row>
    <row r="105" spans="1:35" ht="18.75" customHeight="1" thickBot="1">
      <c r="A105" s="3310"/>
      <c r="B105" s="2376" t="s">
        <v>1432</v>
      </c>
      <c r="C105" s="2377">
        <f ca="1">I118</f>
        <v>24060</v>
      </c>
      <c r="D105" s="2378"/>
      <c r="E105" s="1553" t="s">
        <v>1437</v>
      </c>
      <c r="F105" s="1546"/>
      <c r="G105" s="1686" t="s">
        <v>1434</v>
      </c>
      <c r="H105" s="2381">
        <f>C37</f>
        <v>0</v>
      </c>
      <c r="I105" s="121"/>
    </row>
    <row r="106" spans="1:35" ht="18.75" customHeight="1">
      <c r="A106" s="644" t="s">
        <v>1438</v>
      </c>
      <c r="B106" s="644"/>
      <c r="C106" s="644"/>
      <c r="D106" s="644"/>
      <c r="E106" s="1687" t="s">
        <v>1439</v>
      </c>
      <c r="F106" s="1546"/>
      <c r="G106" s="1686" t="s">
        <v>1434</v>
      </c>
      <c r="H106" s="2381">
        <f>C38</f>
        <v>0</v>
      </c>
      <c r="I106" s="121"/>
    </row>
    <row r="107" spans="1:35" ht="18.75" customHeight="1">
      <c r="A107" s="121"/>
      <c r="B107" s="121"/>
      <c r="C107" s="121"/>
      <c r="D107" s="121"/>
      <c r="E107" s="3306" t="str">
        <f>IF(项目基本情况!E8="已注销","——","3.房地产抵押价值")</f>
        <v>3.房地产抵押价值</v>
      </c>
      <c r="F107" s="3307"/>
      <c r="G107" s="1685" t="s">
        <v>1430</v>
      </c>
      <c r="H107" s="2379">
        <f ca="1">IF(E107="——","——",H101-H103)</f>
        <v>27640</v>
      </c>
      <c r="I107" s="121"/>
    </row>
    <row r="108" spans="1:35" ht="18.75" customHeight="1">
      <c r="A108" s="121"/>
      <c r="B108" s="121"/>
      <c r="C108" s="121"/>
      <c r="D108" s="121"/>
      <c r="E108" s="3306"/>
      <c r="F108" s="3307"/>
      <c r="G108" s="1685" t="s">
        <v>1432</v>
      </c>
      <c r="H108" s="2339">
        <f ca="1">IF(H107=H101,H102,ROUND(H107*10000/'数据-汇总表'!E3,0))</f>
        <v>24060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5" t="s">
        <v>1430</v>
      </c>
      <c r="H109" s="2382" t="str">
        <f>IF(E109="——","——",H101-H105-H106)</f>
        <v>——</v>
      </c>
      <c r="I109" s="121"/>
    </row>
    <row r="110" spans="1:35" ht="18.75" customHeight="1">
      <c r="A110" s="121"/>
      <c r="B110" s="121"/>
      <c r="C110" s="121"/>
      <c r="D110" s="121"/>
      <c r="E110" s="3306"/>
      <c r="F110" s="3307"/>
      <c r="G110" s="1685" t="s">
        <v>1432</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5" t="s">
        <v>1430</v>
      </c>
      <c r="H111" s="2379" t="str">
        <f>IF(E111="——","——",N59)</f>
        <v>——</v>
      </c>
      <c r="I111" s="121"/>
    </row>
    <row r="112" spans="1:35" ht="18.75" customHeight="1" thickBot="1">
      <c r="A112" s="121"/>
      <c r="B112" s="121"/>
      <c r="C112" s="121"/>
      <c r="D112" s="121"/>
      <c r="E112" s="3339"/>
      <c r="F112" s="3340"/>
      <c r="G112" s="1688" t="s">
        <v>1432</v>
      </c>
      <c r="H112" s="2383" t="str">
        <f>IF(E111="——","——",N61)</f>
        <v>——</v>
      </c>
      <c r="I112" s="121"/>
    </row>
    <row r="113" spans="1:27" ht="18.75" customHeight="1">
      <c r="A113" s="121"/>
      <c r="B113" s="121"/>
      <c r="C113" s="121"/>
      <c r="D113" s="121"/>
      <c r="E113" s="3311" t="s">
        <v>1438</v>
      </c>
      <c r="F113" s="3311"/>
      <c r="G113" s="3311"/>
      <c r="H113" s="3311"/>
      <c r="I113" s="121"/>
    </row>
    <row r="114" spans="1:27" ht="3.75" customHeight="1">
      <c r="A114" s="644"/>
      <c r="B114" s="644"/>
      <c r="C114" s="644"/>
      <c r="D114" s="644"/>
      <c r="E114" s="1669"/>
      <c r="F114" s="1669"/>
      <c r="G114" s="1669"/>
      <c r="H114" s="1669"/>
      <c r="I114" s="644"/>
    </row>
    <row r="115" spans="1:27" ht="18.75" customHeight="1">
      <c r="A115" s="3321" t="s">
        <v>1440</v>
      </c>
      <c r="B115" s="3322"/>
      <c r="C115" s="3322"/>
      <c r="D115" s="3322"/>
      <c r="E115" s="3322"/>
      <c r="F115" s="3322"/>
      <c r="G115" s="3322"/>
      <c r="H115" s="3322"/>
      <c r="I115" s="3323"/>
    </row>
    <row r="116" spans="1:27" ht="27" customHeight="1">
      <c r="A116" s="3277" t="s">
        <v>1441</v>
      </c>
      <c r="B116" s="3312" t="s">
        <v>1442</v>
      </c>
      <c r="C116" s="3312" t="s">
        <v>1443</v>
      </c>
      <c r="D116" s="3325" t="s">
        <v>1444</v>
      </c>
      <c r="E116" s="3326"/>
      <c r="F116" s="3320" t="s">
        <v>1445</v>
      </c>
      <c r="G116" s="3320"/>
      <c r="H116" s="3277" t="s">
        <v>1446</v>
      </c>
      <c r="I116" s="3277"/>
    </row>
    <row r="117" spans="1:27" ht="18.75" customHeight="1">
      <c r="A117" s="3277"/>
      <c r="B117" s="3313"/>
      <c r="C117" s="3313"/>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11487.92</v>
      </c>
      <c r="C118" s="2148">
        <f>M19</f>
        <v>5422.86</v>
      </c>
      <c r="D118" s="2148">
        <f ca="1">ROUND(IF(D32="总价",C34,E118*B118/10000),0)</f>
        <v>14539</v>
      </c>
      <c r="E118" s="2148">
        <f ca="1">ROUND(IF(C33="自定义",IF(D32="楼面单价",C34,D118*10000/B118),I118-G118),0)</f>
        <v>12656</v>
      </c>
      <c r="F118" s="2148">
        <f ca="1">ROUND(IF(D32="总价",C35,G118*B118/10000),0)</f>
        <v>13101</v>
      </c>
      <c r="G118" s="2148">
        <f ca="1">ROUND(IF(D32="楼面单价",C35,F118*10000/B118),0)</f>
        <v>11404</v>
      </c>
      <c r="H118" s="2148">
        <f ca="1">ROUND(IF(D32="总价",C32,I118*B118/10000),0)</f>
        <v>27640</v>
      </c>
      <c r="I118" s="2148">
        <f ca="1">ROUND(IF(D32="楼面单价",C32,H118*10000/B118),0)</f>
        <v>24060</v>
      </c>
    </row>
    <row r="119" spans="1:27" ht="18.75" customHeight="1">
      <c r="A119" s="3277" t="s">
        <v>1450</v>
      </c>
      <c r="B119" s="3277"/>
      <c r="C119" s="3277"/>
      <c r="D119" s="3317" t="str">
        <f ca="1">NUMBERSTRING(INT(D118*10000),2)&amp;"元整"</f>
        <v>壹亿肆仟伍佰叁拾玖万元整</v>
      </c>
      <c r="E119" s="3319"/>
      <c r="F119" s="3317" t="str">
        <f ca="1">NUMBERSTRING(INT(F118*10000),2)&amp;"元整"</f>
        <v>壹亿叁仟壹佰零壹万元整</v>
      </c>
      <c r="G119" s="3319"/>
      <c r="H119" s="3317" t="str">
        <f ca="1">NUMBERSTRING(INT(H118*10000),2)&amp;"元整"</f>
        <v>贰亿柒仟陆佰肆拾万元整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7" t="s">
        <v>1450</v>
      </c>
      <c r="B121" s="3318"/>
      <c r="C121" s="3319"/>
      <c r="D121" s="3317" t="str">
        <f>IF(D120=0,"零元整",NUMBERSTRING(INT(D120*10000),2)&amp;"元整")</f>
        <v>零元整</v>
      </c>
      <c r="E121" s="3318"/>
      <c r="F121" s="3318"/>
      <c r="G121" s="3318"/>
      <c r="H121" s="3318"/>
      <c r="I121" s="3319"/>
      <c r="AA121" s="682"/>
    </row>
    <row r="122" spans="1:27" ht="18.75" customHeight="1">
      <c r="A122" s="3308" t="str">
        <f>IF(项目基本情况!B9="房地产市场价值","",MID(E107,3,LEN(E107)-2))</f>
        <v>房地产抵押价值</v>
      </c>
      <c r="B122" s="3308"/>
      <c r="C122" s="3308"/>
      <c r="D122" s="3341">
        <f ca="1">H107</f>
        <v>27640</v>
      </c>
      <c r="E122" s="3342"/>
      <c r="F122" s="3342"/>
      <c r="G122" s="3342"/>
      <c r="H122" s="3342"/>
      <c r="I122" s="3343"/>
      <c r="AA122" s="682"/>
    </row>
    <row r="123" spans="1:27" ht="18.75" customHeight="1">
      <c r="A123" s="3277" t="s">
        <v>1450</v>
      </c>
      <c r="B123" s="3277"/>
      <c r="C123" s="3277"/>
      <c r="D123" s="3317" t="str">
        <f ca="1">NUMBERSTRING(INT(D122*10000),2)&amp;"元整"</f>
        <v>贰亿柒仟陆佰肆拾万元整</v>
      </c>
      <c r="E123" s="3318"/>
      <c r="F123" s="3318"/>
      <c r="G123" s="3318"/>
      <c r="H123" s="3318"/>
      <c r="I123" s="3319"/>
      <c r="AA123" s="682"/>
    </row>
    <row r="124" spans="1:27" ht="18.75" customHeight="1">
      <c r="A124" s="3308" t="str">
        <f>IF(项目基本情况!B9="房地产市场价值","",MID(E109,3,LEN(E109)-2))</f>
        <v/>
      </c>
      <c r="B124" s="3308"/>
      <c r="C124" s="3308"/>
      <c r="D124" s="3341" t="str">
        <f>H109</f>
        <v>——</v>
      </c>
      <c r="E124" s="3342"/>
      <c r="F124" s="3342"/>
      <c r="G124" s="3342"/>
      <c r="H124" s="3342"/>
      <c r="I124" s="3343"/>
      <c r="AA124" s="682"/>
    </row>
    <row r="125" spans="1:27" ht="18.75" customHeight="1">
      <c r="A125" s="3277" t="s">
        <v>1450</v>
      </c>
      <c r="B125" s="3277"/>
      <c r="C125" s="3277"/>
      <c r="D125" s="3317" t="e">
        <f>NUMBERSTRING(INT(D124*10000),2)&amp;"元整"</f>
        <v>#VALUE!</v>
      </c>
      <c r="E125" s="3318"/>
      <c r="F125" s="3318"/>
      <c r="G125" s="3318"/>
      <c r="H125" s="3318"/>
      <c r="I125" s="3319"/>
      <c r="AA125" s="682"/>
    </row>
    <row r="126" spans="1:27" ht="18.75" customHeight="1">
      <c r="A126" s="3308" t="str">
        <f>IF(项目基本情况!B9="房地产市场价值","",MID(E111,3,LEN(E111)-2))</f>
        <v/>
      </c>
      <c r="B126" s="3308"/>
      <c r="C126" s="3308"/>
      <c r="D126" s="3341" t="str">
        <f>H111</f>
        <v>——</v>
      </c>
      <c r="E126" s="3342"/>
      <c r="F126" s="3342"/>
      <c r="G126" s="3342"/>
      <c r="H126" s="3342"/>
      <c r="I126" s="3343"/>
      <c r="AA126" s="682"/>
    </row>
    <row r="127" spans="1:27" ht="18.75" customHeight="1">
      <c r="A127" s="3277" t="s">
        <v>1450</v>
      </c>
      <c r="B127" s="3277"/>
      <c r="C127" s="3277"/>
      <c r="D127" s="3317" t="e">
        <f>NUMBERSTRING(INT(D126*10000),2)&amp;"元整"</f>
        <v>#VALUE!</v>
      </c>
      <c r="E127" s="3318"/>
      <c r="F127" s="3318"/>
      <c r="G127" s="3318"/>
      <c r="H127" s="3318"/>
      <c r="I127" s="3319"/>
      <c r="AA127" s="682"/>
    </row>
    <row r="128" spans="1:27" ht="21.75" customHeight="1">
      <c r="A128" s="3324" t="s">
        <v>1451</v>
      </c>
      <c r="B128" s="3324"/>
      <c r="C128" s="3324"/>
      <c r="D128" s="3324"/>
      <c r="E128" s="3324"/>
      <c r="F128" s="3324"/>
      <c r="G128" s="3324"/>
      <c r="H128" s="3324"/>
      <c r="I128" s="3324"/>
      <c r="AA128" s="682"/>
    </row>
    <row r="129" spans="1:35" ht="21.75" customHeight="1">
      <c r="A129" s="1689" t="s">
        <v>1452</v>
      </c>
      <c r="B129" s="1690"/>
      <c r="C129" s="1691" t="s">
        <v>1453</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1454</v>
      </c>
      <c r="G135" s="1704"/>
      <c r="H135" s="1704"/>
      <c r="I135" s="1705" t="s">
        <v>1455</v>
      </c>
    </row>
    <row r="136" spans="1:35" ht="21.75" customHeight="1">
      <c r="A136" s="682"/>
      <c r="B136" s="1706" t="s">
        <v>1456</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1457</v>
      </c>
    </row>
    <row r="139" spans="1:35" ht="21.75" customHeight="1">
      <c r="A139" s="682"/>
      <c r="B139" s="1706" t="s">
        <v>1458</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1457</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C5:D7">
    <cfRule type="cellIs" dxfId="114" priority="7" stopIfTrue="1" operator="equal">
      <formula>25</formula>
    </cfRule>
  </conditionalFormatting>
  <conditionalFormatting sqref="C8:D13">
    <cfRule type="cellIs" dxfId="113" priority="5" stopIfTrue="1" operator="equal">
      <formula>15</formula>
    </cfRule>
  </conditionalFormatting>
  <conditionalFormatting sqref="C14:D16">
    <cfRule type="cellIs" dxfId="112" priority="4" stopIfTrue="1" operator="equal">
      <formula>30</formula>
    </cfRule>
  </conditionalFormatting>
  <conditionalFormatting sqref="E36">
    <cfRule type="expression" dxfId="111"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"100%,70%,56%"</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130" zoomScaleNormal="70" zoomScaleSheetLayoutView="130" workbookViewId="0">
      <selection activeCell="H31" sqref="H3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2"/>
      <c r="C1" s="190"/>
      <c r="D1" s="190"/>
      <c r="E1" s="190"/>
      <c r="F1" s="190"/>
      <c r="G1" s="1060">
        <f>MATCH(B1,'数据-取费表'!A6:A16,0)+5</f>
        <v>8</v>
      </c>
    </row>
    <row r="2" spans="1:9" s="192" customFormat="1" ht="18" customHeight="1">
      <c r="A2" s="193" t="s">
        <v>1460</v>
      </c>
      <c r="B2" s="194">
        <f ca="1">IF(D2="——",C52,C52-E2)</f>
        <v>35825</v>
      </c>
      <c r="C2" s="191" t="s">
        <v>1461</v>
      </c>
      <c r="D2" s="1709" t="s">
        <v>43</v>
      </c>
      <c r="E2" s="1087" t="e">
        <f ca="1">SUMIF(INDIRECT("'"&amp;G2&amp;"'"&amp;"!A:A"),"承租人权益价值",INDIRECT("'"&amp;G2&amp;"'"&amp;"!c:c"))</f>
        <v>#REF!</v>
      </c>
      <c r="F2" s="1710" t="s">
        <v>1461</v>
      </c>
      <c r="G2" s="1711"/>
    </row>
    <row r="3" spans="1:9" s="192" customFormat="1" ht="18" customHeight="1" thickBot="1">
      <c r="A3" s="195" t="s">
        <v>1462</v>
      </c>
      <c r="B3" s="196">
        <f ca="1">ROUND(B2*10000/(IF(B1="",'数据-汇总表'!E3,INDIRECT("'数据-取费表'!k"&amp;$G$1))),0)</f>
        <v>9740</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 ca="1">C6+C7+C8</f>
        <v>7379</v>
      </c>
      <c r="D5" s="203" t="s">
        <v>1467</v>
      </c>
      <c r="E5" s="204" t="s">
        <v>1468</v>
      </c>
      <c r="F5" s="204" t="s">
        <v>1469</v>
      </c>
      <c r="G5" s="205"/>
    </row>
    <row r="6" spans="1:9" s="206" customFormat="1" ht="13.5" customHeight="1">
      <c r="A6" s="730" t="s">
        <v>1470</v>
      </c>
      <c r="B6" s="207" t="s">
        <v>1471</v>
      </c>
      <c r="C6" s="208">
        <f>基准地价修正!B2</f>
        <v>6446</v>
      </c>
      <c r="D6" s="209"/>
      <c r="E6" s="210"/>
      <c r="F6" s="210"/>
      <c r="G6" s="211"/>
    </row>
    <row r="7" spans="1:9" s="206" customFormat="1" ht="13.5" customHeight="1">
      <c r="A7" s="730" t="s">
        <v>1472</v>
      </c>
      <c r="B7" s="207" t="s">
        <v>1473</v>
      </c>
      <c r="C7" s="212">
        <f>ROUND(C6*F7,0)</f>
        <v>197</v>
      </c>
      <c r="D7" s="212"/>
      <c r="E7" s="210"/>
      <c r="F7" s="213">
        <f>IF(项目基本情况!B8="出让",0,'数据-取费表'!B48+'数据-取费表'!B49)</f>
        <v>3.0499999999999999E-2</v>
      </c>
      <c r="G7" s="211"/>
    </row>
    <row r="8" spans="1:9" s="215" customFormat="1">
      <c r="A8" s="730" t="s">
        <v>1474</v>
      </c>
      <c r="B8" s="207" t="s">
        <v>1475</v>
      </c>
      <c r="C8" s="212">
        <f ca="1">IF(G8="已包含在土地购买价格中","0",IF(B1="",'数据-取费表'!B29,IF(G9="全部缴纳",C9+C10,H9)))</f>
        <v>736</v>
      </c>
      <c r="D8" s="214"/>
      <c r="E8" s="212"/>
      <c r="F8" s="213"/>
      <c r="G8" s="1712" t="s">
        <v>3434</v>
      </c>
    </row>
    <row r="9" spans="1:9" s="206" customFormat="1" ht="13.5" customHeight="1">
      <c r="A9" s="731" t="s">
        <v>355</v>
      </c>
      <c r="B9" s="216" t="s">
        <v>1476</v>
      </c>
      <c r="C9" s="217">
        <f ca="1">ROUND(D9*E9/10000,0)</f>
        <v>0</v>
      </c>
      <c r="D9" s="793">
        <f ca="1">IF(B1="",'数据-汇总表'!E5,IF(INDIRECT("'数据-取费表'!c"&amp;$G$1)="住宅",INDIRECT("'数据-取费表'!k"&amp;$G$1),0))</f>
        <v>0</v>
      </c>
      <c r="E9" s="217">
        <f>'数据-取费表'!B27</f>
        <v>0</v>
      </c>
      <c r="F9" s="213"/>
      <c r="G9" s="1713" t="s">
        <v>3435</v>
      </c>
      <c r="H9" s="1068"/>
      <c r="I9" s="1714" t="s">
        <v>1477</v>
      </c>
    </row>
    <row r="10" spans="1:9" s="206" customFormat="1" ht="13.5" customHeight="1">
      <c r="A10" s="731" t="s">
        <v>356</v>
      </c>
      <c r="B10" s="216" t="s">
        <v>1478</v>
      </c>
      <c r="C10" s="217">
        <f ca="1">ROUND(D10*E10/10000,0)</f>
        <v>736</v>
      </c>
      <c r="D10" s="793">
        <f ca="1">IF(B1="",'数据-汇总表'!E6,IF(INDIRECT("'数据-取费表'!c"&amp;$G$1)="住宅",INDIRECT("'数据-取费表'!s"&amp;$G$1),INDIRECT("'数据-取费表'!k"&amp;$G$1)+INDIRECT("'数据-取费表'!s"&amp;$G$1)))</f>
        <v>36780.86</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36780.86</v>
      </c>
      <c r="E19" s="203">
        <f>'数据-取费表'!B31</f>
        <v>200</v>
      </c>
      <c r="F19" s="223"/>
      <c r="G19" s="1712" t="s">
        <v>3436</v>
      </c>
    </row>
    <row r="20" spans="1:7" s="206" customFormat="1" ht="13.5" customHeight="1">
      <c r="A20" s="247" t="s">
        <v>1491</v>
      </c>
      <c r="B20" s="202" t="s">
        <v>1492</v>
      </c>
      <c r="C20" s="224">
        <f ca="1">ROUND((C5+C19)*F20,0)</f>
        <v>148</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39">
        <f ca="1">ROUND(SUM(C23:C25),0)</f>
        <v>470</v>
      </c>
      <c r="D22" s="227">
        <f ca="1">C26</f>
        <v>5.9999999999999995E-4</v>
      </c>
      <c r="E22" s="228" t="s">
        <v>1496</v>
      </c>
      <c r="F22" s="229">
        <f ca="1">'数据-取费表'!B40</f>
        <v>3.1E-2</v>
      </c>
      <c r="G22" s="226" t="str">
        <f>IF('数据-取费表'!B22&lt;=1,"单利计息","复利计息")</f>
        <v>复利计息</v>
      </c>
    </row>
    <row r="23" spans="1:7" s="206" customFormat="1" ht="13.5" customHeight="1">
      <c r="A23" s="732" t="s">
        <v>1500</v>
      </c>
      <c r="B23" s="207" t="s">
        <v>1501</v>
      </c>
      <c r="C23" s="1040">
        <f ca="1">ROUND(IF('数据-取费表'!B22&lt;=1,C5*F22*'数据-取费表'!B23,C5*(POWER((1+F22),'数据-取费表'!B23)-1)),0)</f>
        <v>465</v>
      </c>
      <c r="D23" s="230"/>
      <c r="E23" s="230"/>
      <c r="F23" s="231"/>
      <c r="G23" s="232" t="s">
        <v>1502</v>
      </c>
    </row>
    <row r="24" spans="1:7" s="206" customFormat="1" ht="13.5" customHeight="1">
      <c r="A24" s="732" t="s">
        <v>1503</v>
      </c>
      <c r="B24" s="207" t="s">
        <v>1504</v>
      </c>
      <c r="C24" s="1040">
        <f ca="1">ROUND(IF('数据-取费表'!B22&lt;=1,C19*F22*('数据-取费表'!B19/2+'数据-取费表'!B21),C19*(POWER((1+F22),('数据-取费表'!B19/2+'数据-取费表'!B21))-1)),0)</f>
        <v>0</v>
      </c>
      <c r="D24" s="230"/>
      <c r="E24" s="230"/>
      <c r="F24" s="231"/>
      <c r="G24" s="232" t="s">
        <v>1505</v>
      </c>
    </row>
    <row r="25" spans="1:7" s="206" customFormat="1" ht="24">
      <c r="A25" s="732" t="s">
        <v>1506</v>
      </c>
      <c r="B25" s="207" t="s">
        <v>1507</v>
      </c>
      <c r="C25" s="1040">
        <f ca="1">ROUND(IF('数据-取费表'!B22&lt;=1,C20*F22*'数据-取费表'!B23/2,C20*(POWER((1+F22),'数据-取费表'!B23/2)-1)),0)</f>
        <v>5</v>
      </c>
      <c r="D25" s="230"/>
      <c r="E25" s="233"/>
      <c r="F25" s="231"/>
      <c r="G25" s="234" t="s">
        <v>1508</v>
      </c>
    </row>
    <row r="26" spans="1:7" s="206" customFormat="1">
      <c r="A26" s="732" t="s">
        <v>350</v>
      </c>
      <c r="B26" s="207" t="s">
        <v>1509</v>
      </c>
      <c r="C26" s="230">
        <f ca="1">ROUND(IF('数据-取费表'!B22&lt;=1,F21*F22*'数据-取费表'!B23/2,F21*(POWER((1+F22),'数据-取费表'!B23/2)-1)),4)</f>
        <v>5.9999999999999995E-4</v>
      </c>
      <c r="D26" s="230"/>
      <c r="E26" s="233"/>
      <c r="F26" s="231"/>
      <c r="G26" s="235"/>
    </row>
    <row r="27" spans="1:7" s="206" customFormat="1" ht="26.4">
      <c r="A27" s="247" t="s">
        <v>1510</v>
      </c>
      <c r="B27" s="236" t="s">
        <v>1511</v>
      </c>
      <c r="C27" s="237">
        <f ca="1">C28</f>
        <v>828</v>
      </c>
      <c r="D27" s="227">
        <f ca="1">C29</f>
        <v>2.2000000000000001E-3</v>
      </c>
      <c r="E27" s="228" t="s">
        <v>1512</v>
      </c>
      <c r="F27" s="238">
        <f ca="1">IF(B1="",'数据-取费表'!Q16,INDIRECT("'数据-取费表'!q"&amp;$G$1))</f>
        <v>0.11</v>
      </c>
      <c r="G27" s="239" t="s">
        <v>1513</v>
      </c>
    </row>
    <row r="28" spans="1:7" s="206" customFormat="1" ht="13.5" customHeight="1">
      <c r="A28" s="732" t="s">
        <v>346</v>
      </c>
      <c r="B28" s="240" t="s">
        <v>1514</v>
      </c>
      <c r="C28" s="241">
        <f ca="1">ROUND((C5+C19+C20)*F27*'数据-取费表'!B21/'数据-取费表'!B20,0)</f>
        <v>828</v>
      </c>
      <c r="D28" s="227"/>
      <c r="E28" s="228"/>
      <c r="F28" s="238"/>
      <c r="G28" s="239"/>
    </row>
    <row r="29" spans="1:7" s="206" customFormat="1" ht="13.5" customHeight="1">
      <c r="A29" s="732" t="s">
        <v>347</v>
      </c>
      <c r="B29" s="240" t="s">
        <v>1515</v>
      </c>
      <c r="C29" s="230">
        <f ca="1">ROUND(C21*F27*'数据-取费表'!B21/'数据-取费表'!B20,4)</f>
        <v>2.2000000000000001E-3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9543</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24570</v>
      </c>
      <c r="D33" s="224"/>
      <c r="E33" s="204"/>
      <c r="F33" s="233"/>
      <c r="G33" s="226"/>
    </row>
    <row r="34" spans="1:7" s="250" customFormat="1" ht="13.5" customHeight="1">
      <c r="A34" s="732" t="s">
        <v>346</v>
      </c>
      <c r="B34" s="207" t="s">
        <v>1523</v>
      </c>
      <c r="C34" s="212">
        <f ca="1">IF(B1="",IF(F34=100%,'数据-取费表'!M16,'数据-取费表'!O16),IF(F34=100%,INDIRECT("'数据-取费表'!m"&amp;$G$1)+INDIRECT("'数据-取费表'!t"&amp;$G$1),INDIRECT("'数据-取费表'!o"&amp;$G$1)+INDIRECT("'数据-取费表'!aq"&amp;$G$1)))</f>
        <v>22069</v>
      </c>
      <c r="D34" s="209"/>
      <c r="E34" s="212"/>
      <c r="F34" s="249">
        <f ca="1">IF('数据-取费表'!B24=0,1,IF(B1="",'数据-取费表'!N16,INDIRECT("'数据-取费表'!n"&amp;$G$1)))</f>
        <v>1</v>
      </c>
      <c r="G34" s="211" t="s">
        <v>1524</v>
      </c>
    </row>
    <row r="35" spans="1:7" ht="13.5" customHeight="1">
      <c r="A35" s="732" t="s">
        <v>351</v>
      </c>
      <c r="B35" s="207" t="s">
        <v>1525</v>
      </c>
      <c r="C35" s="212">
        <f ca="1">ROUND(C34*F35,0)</f>
        <v>1103</v>
      </c>
      <c r="D35" s="212"/>
      <c r="E35" s="212"/>
      <c r="F35" s="251">
        <f>'数据-取费表'!B33</f>
        <v>0.05</v>
      </c>
      <c r="G35" s="211" t="s">
        <v>1526</v>
      </c>
    </row>
    <row r="36" spans="1:7" ht="24">
      <c r="A36" s="732"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2" t="s">
        <v>353</v>
      </c>
      <c r="B37" s="207" t="s">
        <v>1529</v>
      </c>
      <c r="C37" s="241">
        <f ca="1">ROUND(E37*D37*F34/10000,0)</f>
        <v>736</v>
      </c>
      <c r="D37" s="209">
        <f ca="1">D19</f>
        <v>36780.86</v>
      </c>
      <c r="E37" s="241">
        <f>'数据-取费表'!B35</f>
        <v>200</v>
      </c>
      <c r="F37" s="251"/>
      <c r="G37" s="253" t="s">
        <v>1530</v>
      </c>
    </row>
    <row r="38" spans="1:7" ht="13.5" customHeight="1">
      <c r="A38" s="732" t="s">
        <v>354</v>
      </c>
      <c r="B38" s="207" t="s">
        <v>1531</v>
      </c>
      <c r="C38" s="212">
        <f ca="1">ROUND(C34*F38,0)</f>
        <v>662</v>
      </c>
      <c r="D38" s="212"/>
      <c r="E38" s="212"/>
      <c r="F38" s="251">
        <f>'数据-取费表'!B36</f>
        <v>0.03</v>
      </c>
      <c r="G38" s="211" t="s">
        <v>1526</v>
      </c>
    </row>
    <row r="39" spans="1:7" s="206" customFormat="1" ht="13.5" customHeight="1">
      <c r="A39" s="247" t="s">
        <v>1532</v>
      </c>
      <c r="B39" s="202" t="s">
        <v>1533</v>
      </c>
      <c r="C39" s="224">
        <f ca="1">ROUND(C33*F20,0)</f>
        <v>491</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777</v>
      </c>
      <c r="D41" s="227">
        <f ca="1">C44</f>
        <v>5.9999999999999995E-4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ROUND(IF('数据-取费表'!B22&lt;=1,C33*F22*'数据-取费表'!B21/2,C33*(POWER((1+F22),'数据-取费表'!B21/2)-1)),0)</f>
        <v>762</v>
      </c>
      <c r="D42" s="230"/>
      <c r="E42" s="230"/>
      <c r="F42" s="231"/>
      <c r="G42" s="3357" t="s">
        <v>1542</v>
      </c>
    </row>
    <row r="43" spans="1:7" ht="13.5" customHeight="1">
      <c r="A43" s="732" t="s">
        <v>347</v>
      </c>
      <c r="B43" s="207" t="s">
        <v>1543</v>
      </c>
      <c r="C43" s="230">
        <f ca="1">ROUND(IF('数据-取费表'!B22&lt;=1,C39*F22*'数据-取费表'!B21/2,C39*(POWER((1+F22),'数据-取费表'!B21/2)-1)),0)</f>
        <v>15</v>
      </c>
      <c r="D43" s="230"/>
      <c r="E43" s="230"/>
      <c r="F43" s="231"/>
      <c r="G43" s="3358"/>
    </row>
    <row r="44" spans="1:7" ht="13.5" customHeight="1">
      <c r="A44" s="732" t="s">
        <v>348</v>
      </c>
      <c r="B44" s="207" t="s">
        <v>1544</v>
      </c>
      <c r="C44" s="230">
        <f ca="1">ROUND(IF('数据-取费表'!B22&lt;=1,C40*F22*'数据-取费表'!B21/2,C40*(POWER((1+F22),'数据-取费表'!B21/2)-1)),4)</f>
        <v>5.9999999999999995E-4</v>
      </c>
      <c r="D44" s="230"/>
      <c r="E44" s="230"/>
      <c r="F44" s="231"/>
      <c r="G44" s="3359"/>
    </row>
    <row r="45" spans="1:7" s="206" customFormat="1" ht="13.5" customHeight="1">
      <c r="A45" s="247" t="s">
        <v>1545</v>
      </c>
      <c r="B45" s="236" t="s">
        <v>1511</v>
      </c>
      <c r="C45" s="237">
        <f ca="1">C46</f>
        <v>2757</v>
      </c>
      <c r="D45" s="227">
        <f ca="1">C47</f>
        <v>2.2000000000000001E-3</v>
      </c>
      <c r="E45" s="228" t="s">
        <v>1537</v>
      </c>
      <c r="F45" s="238">
        <f ca="1">F27</f>
        <v>0.11</v>
      </c>
      <c r="G45" s="239" t="s">
        <v>1546</v>
      </c>
    </row>
    <row r="46" spans="1:7" s="206" customFormat="1" ht="13.5" customHeight="1">
      <c r="A46" s="732" t="s">
        <v>346</v>
      </c>
      <c r="B46" s="240" t="s">
        <v>1547</v>
      </c>
      <c r="C46" s="241">
        <f ca="1">ROUND((C33+C39)*F27,0)</f>
        <v>2757</v>
      </c>
      <c r="D46" s="255"/>
      <c r="E46" s="228"/>
      <c r="F46" s="238"/>
      <c r="G46" s="239"/>
    </row>
    <row r="47" spans="1:7" s="206" customFormat="1" ht="13.5" customHeight="1">
      <c r="A47" s="732" t="s">
        <v>347</v>
      </c>
      <c r="B47" s="240" t="s">
        <v>1548</v>
      </c>
      <c r="C47" s="230">
        <f ca="1">ROUND(C40*F27,4)</f>
        <v>2.2000000000000001E-3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30920</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26282</v>
      </c>
      <c r="D51" s="224"/>
      <c r="E51" s="224"/>
      <c r="F51" s="256"/>
      <c r="G51" s="226" t="s">
        <v>1558</v>
      </c>
    </row>
    <row r="52" spans="1:7" s="200" customFormat="1" ht="16.8" thickBot="1">
      <c r="A52" s="257" t="s">
        <v>1559</v>
      </c>
      <c r="B52" s="258"/>
      <c r="C52" s="259">
        <f ca="1">C31+C51</f>
        <v>35825</v>
      </c>
      <c r="D52" s="258"/>
      <c r="E52" s="258"/>
      <c r="F52" s="258"/>
      <c r="G52" s="260"/>
    </row>
    <row r="55" spans="1:7" ht="15">
      <c r="B55" s="262" t="s">
        <v>1560</v>
      </c>
      <c r="C55" s="263"/>
    </row>
    <row r="56" spans="1:7">
      <c r="B56" s="265" t="s">
        <v>800</v>
      </c>
      <c r="C56" s="267">
        <f ca="1">1-C57</f>
        <v>0.26600000000000001</v>
      </c>
    </row>
    <row r="57" spans="1:7">
      <c r="B57" s="265" t="s">
        <v>801</v>
      </c>
      <c r="C57" s="266">
        <f ca="1">ROUND(C51/C52,3)</f>
        <v>0.73399999999999999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122"/>
  <sheetViews>
    <sheetView view="pageBreakPreview" zoomScaleNormal="80" zoomScaleSheetLayoutView="100" workbookViewId="0">
      <selection activeCell="B3" sqref="B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1924</v>
      </c>
      <c r="B1" s="189"/>
      <c r="C1" s="193" t="s">
        <v>1925</v>
      </c>
      <c r="D1" s="333">
        <f>SUM(D33:D34,D37:D42)</f>
        <v>36780.86</v>
      </c>
      <c r="E1" s="1840"/>
      <c r="F1" s="1840"/>
      <c r="G1" s="1840"/>
      <c r="H1" s="1840"/>
      <c r="I1" s="1840"/>
      <c r="J1" s="1840"/>
      <c r="K1" s="1054"/>
      <c r="L1" s="1841" t="s">
        <v>1926</v>
      </c>
      <c r="M1" s="808">
        <f>SUMPRODUCT((区片价!B5:B9=I2)*(区片价!C3:G3=E2)*(区片价!C5:G9))</f>
        <v>0</v>
      </c>
      <c r="N1" s="811">
        <f>SUMPRODUCT((因素修正幅度!B5:B9=I2)*(因素修正幅度!C3:G3=E2)*(因素修正幅度!C5:G9))</f>
        <v>0</v>
      </c>
      <c r="O1" s="1842"/>
      <c r="P1" s="1842"/>
      <c r="Q1" s="1054"/>
      <c r="R1" s="1127" t="s">
        <v>1927</v>
      </c>
      <c r="S1" s="1127" t="s">
        <v>1928</v>
      </c>
      <c r="T1" s="1127" t="s">
        <v>1929</v>
      </c>
      <c r="U1" s="1127" t="s">
        <v>1930</v>
      </c>
      <c r="V1" s="1127" t="s">
        <v>1931</v>
      </c>
      <c r="W1" s="1131"/>
      <c r="X1" s="1131"/>
      <c r="Y1" s="1131"/>
      <c r="Z1" s="1131"/>
      <c r="AA1" s="1131"/>
      <c r="AB1" s="1131"/>
      <c r="AC1" s="1132"/>
      <c r="AD1" s="1133"/>
      <c r="AE1" s="1133"/>
      <c r="AF1" s="1133"/>
      <c r="AG1" s="1133"/>
      <c r="AH1" s="1133"/>
      <c r="AI1" s="1133"/>
      <c r="AJ1" s="1134"/>
    </row>
    <row r="2" spans="1:36" ht="15.6">
      <c r="A2" s="193" t="s">
        <v>1932</v>
      </c>
      <c r="B2" s="196">
        <f>C30</f>
        <v>6446</v>
      </c>
      <c r="C2" s="1844" t="s">
        <v>1933</v>
      </c>
      <c r="D2" s="162" t="s">
        <v>1934</v>
      </c>
      <c r="E2" s="3118" t="s">
        <v>3404</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Ⅸ-怀3</v>
      </c>
      <c r="J2" s="1840"/>
      <c r="K2" s="1054"/>
      <c r="L2" s="1845" t="s">
        <v>1937</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1.5418000000000001</v>
      </c>
      <c r="T2" s="3061">
        <f t="shared" ref="T2:T16" si="0">ROUND($C$5*$C$22*$C$23*$C$24*S2*$C$28,0)</f>
        <v>3369</v>
      </c>
      <c r="U2" s="1128"/>
      <c r="V2" s="3061">
        <f>ROUND(T2*U2/10000,0)</f>
        <v>0</v>
      </c>
      <c r="W2" s="1131"/>
      <c r="X2" s="1131"/>
      <c r="Y2" s="1131"/>
      <c r="Z2" s="1131"/>
      <c r="AA2" s="1131"/>
      <c r="AB2" s="1131"/>
      <c r="AC2" s="1132"/>
      <c r="AD2" s="1133"/>
      <c r="AE2" s="1133"/>
      <c r="AF2" s="1133"/>
      <c r="AG2" s="1133"/>
      <c r="AH2" s="1133"/>
      <c r="AI2" s="1133"/>
      <c r="AJ2" s="1134"/>
    </row>
    <row r="3" spans="1:36" ht="15.6">
      <c r="A3" s="195" t="s">
        <v>1938</v>
      </c>
      <c r="B3" s="196">
        <f>ROUND(B2*10000/D1,0)</f>
        <v>1753</v>
      </c>
      <c r="C3" s="1844" t="s">
        <v>1939</v>
      </c>
      <c r="D3" s="162" t="s">
        <v>1940</v>
      </c>
      <c r="E3" s="3116" t="s">
        <v>2455</v>
      </c>
      <c r="F3" s="1846" t="s">
        <v>3429</v>
      </c>
      <c r="G3" s="706">
        <f>IF(F3="宗地容积率",'数据-汇总表'!I4,IF(F3="估价对象容积率",'数据-汇总表'!I6,'数据-汇总表'!I7))</f>
        <v>1.74</v>
      </c>
      <c r="H3" s="162" t="s">
        <v>1941</v>
      </c>
      <c r="I3" s="727"/>
      <c r="J3" s="1840" t="s">
        <v>1942</v>
      </c>
      <c r="K3" s="1054"/>
      <c r="L3" s="1845" t="s">
        <v>1943</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1.1883999999999999</v>
      </c>
      <c r="T3" s="3061">
        <f t="shared" si="0"/>
        <v>2597</v>
      </c>
      <c r="U3" s="1128"/>
      <c r="V3" s="3061">
        <f t="shared" ref="V3:V16" si="1">ROUND(T3*U3/10000,0)</f>
        <v>0</v>
      </c>
      <c r="W3" s="1131"/>
      <c r="X3" s="1131"/>
      <c r="Y3" s="1131"/>
      <c r="Z3" s="1131"/>
      <c r="AA3" s="1131"/>
      <c r="AB3" s="1131"/>
      <c r="AC3" s="1132"/>
      <c r="AD3" s="1133"/>
      <c r="AE3" s="1133"/>
      <c r="AF3" s="1133"/>
      <c r="AG3" s="1133"/>
      <c r="AH3" s="1133"/>
      <c r="AI3" s="1133"/>
      <c r="AJ3" s="1134"/>
    </row>
    <row r="4" spans="1:36" ht="15.6">
      <c r="A4" s="3448"/>
      <c r="B4" s="3449"/>
      <c r="C4" s="3449"/>
      <c r="D4" s="3450"/>
      <c r="E4" s="3450"/>
      <c r="F4" s="3450"/>
      <c r="G4" s="3450"/>
      <c r="H4" s="3450"/>
      <c r="I4" s="3450"/>
      <c r="J4" s="3451"/>
      <c r="K4" s="1054"/>
      <c r="L4" s="1845" t="s">
        <v>1944</v>
      </c>
      <c r="M4" s="809">
        <f>SUMPRODUCT((区片价!B55:B86=I2)*(区片价!C3:G3=E2)*(区片价!C55:G86))</f>
        <v>0</v>
      </c>
      <c r="N4" s="811">
        <f>SUMPRODUCT((因素修正幅度!B55:B86=I2)*(因素修正幅度!C3:G3=E2)*(因素修正幅度!C55:G86))</f>
        <v>0</v>
      </c>
      <c r="O4" s="1054"/>
      <c r="P4" s="1054"/>
      <c r="Q4" s="1054"/>
      <c r="R4" s="1127">
        <v>3</v>
      </c>
      <c r="S4" s="3061">
        <f>ROUND(SUMPRODUCT((B106:B110=R4)*(C105:N105=G2)*(C106:N110)),4)</f>
        <v>0.96940000000000004</v>
      </c>
      <c r="T4" s="3061">
        <f t="shared" si="0"/>
        <v>2118</v>
      </c>
      <c r="U4" s="1128"/>
      <c r="V4" s="3061">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1945</v>
      </c>
      <c r="C5" s="707">
        <f>ROUND(IF(E2="商业",C6*C7*C17+C20,(IF(E2="住宅",C6*C13*C17+C20,IF(E2="办公",C6*C12*C17+C20,C6+C20)))),0)</f>
        <v>3390</v>
      </c>
      <c r="D5" s="1250">
        <f>ROUND(C6*C17+C20,0)</f>
        <v>3390</v>
      </c>
      <c r="E5" s="1250"/>
      <c r="F5" s="1849"/>
      <c r="G5" s="1850"/>
      <c r="H5" s="1850"/>
      <c r="I5" s="1850"/>
      <c r="J5" s="1851"/>
      <c r="K5" s="1852"/>
      <c r="L5" s="1845" t="s">
        <v>1946</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0.82299999999999995</v>
      </c>
      <c r="T5" s="3061">
        <f t="shared" si="0"/>
        <v>1798</v>
      </c>
      <c r="U5" s="1128"/>
      <c r="V5" s="3061">
        <f t="shared" si="1"/>
        <v>0</v>
      </c>
      <c r="W5" s="1131"/>
      <c r="X5" s="1131"/>
      <c r="Y5" s="1131"/>
      <c r="Z5" s="1131"/>
      <c r="AA5" s="1131"/>
      <c r="AB5" s="1131"/>
      <c r="AC5" s="1853"/>
      <c r="AD5" s="1854"/>
      <c r="AE5" s="1854"/>
      <c r="AF5" s="1854"/>
      <c r="AG5" s="1854"/>
      <c r="AH5" s="1854"/>
      <c r="AI5" s="1854"/>
      <c r="AJ5" s="1855"/>
    </row>
    <row r="6" spans="1:36" ht="15.6" thickBot="1">
      <c r="A6" s="1857" t="s">
        <v>1947</v>
      </c>
      <c r="B6" s="1858" t="s">
        <v>1948</v>
      </c>
      <c r="C6" s="708">
        <f>SUMIF(L1:L12,G2,M1:M12)</f>
        <v>3390</v>
      </c>
      <c r="D6" s="1859"/>
      <c r="E6" s="1860"/>
      <c r="F6" s="1860"/>
      <c r="G6" s="1861"/>
      <c r="H6" s="1861"/>
      <c r="I6" s="1861"/>
      <c r="J6" s="1862"/>
      <c r="K6" s="1290"/>
      <c r="L6" s="1845" t="s">
        <v>1949</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0.74980000000000002</v>
      </c>
      <c r="T6" s="3061">
        <f t="shared" si="0"/>
        <v>1638</v>
      </c>
      <c r="U6" s="1128"/>
      <c r="V6" s="3061">
        <f t="shared" si="1"/>
        <v>0</v>
      </c>
      <c r="W6" s="1131"/>
      <c r="X6" s="1131"/>
      <c r="Y6" s="1131"/>
      <c r="Z6" s="1131"/>
      <c r="AA6" s="1131"/>
      <c r="AB6" s="1131"/>
      <c r="AC6" s="1853"/>
      <c r="AD6" s="1854"/>
      <c r="AE6" s="1854"/>
      <c r="AF6" s="1854"/>
      <c r="AG6" s="1854"/>
      <c r="AH6" s="1854"/>
      <c r="AI6" s="1854"/>
      <c r="AJ6" s="1855"/>
    </row>
    <row r="7" spans="1:36" ht="24.6" thickBot="1">
      <c r="A7" s="3010" t="s">
        <v>3234</v>
      </c>
      <c r="B7" s="1863" t="s">
        <v>1950</v>
      </c>
      <c r="C7" s="709" t="e">
        <f>IF(C8="不临65条商业街",1,ROUND(1+(1.6*E8+1.2*E9+0.8*E10+0.4*E11)*C9,4))</f>
        <v>#DIV/0!</v>
      </c>
      <c r="D7" s="1864" t="s">
        <v>1951</v>
      </c>
      <c r="E7" s="728"/>
      <c r="F7" s="1865"/>
      <c r="G7" s="1866"/>
      <c r="H7" s="1866"/>
      <c r="I7" s="1866"/>
      <c r="J7" s="1867"/>
      <c r="K7" s="1290"/>
      <c r="L7" s="1845" t="s">
        <v>1952</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5" t="s">
        <v>1953</v>
      </c>
      <c r="X7" s="1129" t="str">
        <f>G2</f>
        <v>九级</v>
      </c>
      <c r="Y7" s="1129" t="s">
        <v>1954</v>
      </c>
      <c r="Z7" s="1130">
        <f>G3</f>
        <v>1.74</v>
      </c>
      <c r="AA7" s="1131"/>
      <c r="AB7" s="1131"/>
      <c r="AC7" s="1132"/>
      <c r="AD7" s="1133"/>
      <c r="AE7" s="1133"/>
      <c r="AF7" s="1133"/>
      <c r="AG7" s="1133"/>
      <c r="AH7" s="1133"/>
      <c r="AI7" s="1133"/>
      <c r="AJ7" s="1134"/>
    </row>
    <row r="8" spans="1:36" ht="15">
      <c r="A8" s="3007"/>
      <c r="B8" s="162" t="s">
        <v>1955</v>
      </c>
      <c r="C8" s="1868"/>
      <c r="D8" s="710" t="s">
        <v>112</v>
      </c>
      <c r="E8" s="711" t="e">
        <f>ROUND(C11/E7,4)</f>
        <v>#DIV/0!</v>
      </c>
      <c r="F8" s="1869" t="s">
        <v>1956</v>
      </c>
      <c r="G8" s="1870"/>
      <c r="H8" s="1870"/>
      <c r="I8" s="1870"/>
      <c r="J8" s="1871"/>
      <c r="K8" s="1054"/>
      <c r="L8" s="1845" t="s">
        <v>1957</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45" t="s">
        <v>1958</v>
      </c>
      <c r="X8" s="3446"/>
      <c r="Y8" s="1135" t="s">
        <v>1959</v>
      </c>
      <c r="Z8" s="1135" t="s">
        <v>1960</v>
      </c>
      <c r="AA8" s="1135" t="s">
        <v>1961</v>
      </c>
      <c r="AB8" s="1135" t="s">
        <v>1962</v>
      </c>
      <c r="AC8" s="1135" t="s">
        <v>1963</v>
      </c>
      <c r="AD8" s="1135" t="s">
        <v>1964</v>
      </c>
      <c r="AE8" s="1135" t="s">
        <v>1965</v>
      </c>
      <c r="AF8" s="1135" t="s">
        <v>1966</v>
      </c>
      <c r="AG8" s="1135" t="s">
        <v>1967</v>
      </c>
      <c r="AH8" s="1135" t="s">
        <v>1968</v>
      </c>
      <c r="AI8" s="1135" t="s">
        <v>1969</v>
      </c>
      <c r="AJ8" s="1135" t="s">
        <v>1970</v>
      </c>
    </row>
    <row r="9" spans="1:36" ht="15">
      <c r="A9" s="3007"/>
      <c r="B9" s="162" t="s">
        <v>1971</v>
      </c>
      <c r="C9" s="712">
        <f>SUMIF(修正!C71:C138,C8,修正!E71:E138)</f>
        <v>0</v>
      </c>
      <c r="D9" s="163" t="s">
        <v>113</v>
      </c>
      <c r="E9" s="163" t="e">
        <f>ROUND(C11/E7,4)</f>
        <v>#DIV/0!</v>
      </c>
      <c r="F9" s="1869" t="s">
        <v>1972</v>
      </c>
      <c r="G9" s="1870"/>
      <c r="H9" s="1870"/>
      <c r="I9" s="1870"/>
      <c r="J9" s="1871"/>
      <c r="K9" s="1054"/>
      <c r="L9" s="1845" t="s">
        <v>1973</v>
      </c>
      <c r="M9" s="809">
        <f>SUMPRODUCT((区片价!B277:B326=I2)*(区片价!C3:G3=E2)*(区片价!C277:G326))</f>
        <v>3390</v>
      </c>
      <c r="N9" s="811">
        <f>SUMPRODUCT((因素修正幅度!B277:B326=I2)*(因素修正幅度!C3:G3=E2)*(因素修正幅度!C277:G326))</f>
        <v>0.15</v>
      </c>
      <c r="O9" s="1054"/>
      <c r="P9" s="1054"/>
      <c r="Q9" s="1054"/>
      <c r="R9" s="1127">
        <v>8</v>
      </c>
      <c r="S9" s="1128"/>
      <c r="T9" s="3061">
        <f t="shared" si="0"/>
        <v>0</v>
      </c>
      <c r="U9" s="1128"/>
      <c r="V9" s="3061">
        <f t="shared" si="1"/>
        <v>0</v>
      </c>
      <c r="W9" s="3447"/>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1974</v>
      </c>
      <c r="C10" s="163">
        <f>SUMIF(修正!C71:C138,C8,修正!F71:F138)</f>
        <v>0</v>
      </c>
      <c r="D10" s="163" t="s">
        <v>114</v>
      </c>
      <c r="E10" s="163" t="e">
        <f>ROUND(C11/E7,4)</f>
        <v>#DIV/0!</v>
      </c>
      <c r="F10" s="1869" t="s">
        <v>1975</v>
      </c>
      <c r="G10" s="1870"/>
      <c r="H10" s="1870"/>
      <c r="I10" s="1870"/>
      <c r="J10" s="1871"/>
      <c r="K10" s="1054"/>
      <c r="L10" s="1845" t="s">
        <v>1976</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4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2" t="s">
        <v>1977</v>
      </c>
      <c r="C11" s="713">
        <f>C10/4</f>
        <v>0</v>
      </c>
      <c r="D11" s="713" t="s">
        <v>115</v>
      </c>
      <c r="E11" s="713" t="e">
        <f>ROUND(C11/E7,4)</f>
        <v>#DIV/0!</v>
      </c>
      <c r="F11" s="1873" t="s">
        <v>1978</v>
      </c>
      <c r="G11" s="1874"/>
      <c r="H11" s="1874"/>
      <c r="I11" s="1874"/>
      <c r="J11" s="1875"/>
      <c r="K11" s="1054"/>
      <c r="L11" s="1845" t="s">
        <v>1979</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8" thickBot="1">
      <c r="A12" s="3010" t="s">
        <v>3235</v>
      </c>
      <c r="B12" s="3011" t="s">
        <v>3236</v>
      </c>
      <c r="C12" s="3012"/>
      <c r="D12" s="3013" t="s">
        <v>3237</v>
      </c>
      <c r="E12" s="3014" t="s">
        <v>3238</v>
      </c>
      <c r="F12" s="3015"/>
      <c r="G12" s="3016"/>
      <c r="H12" s="3016"/>
      <c r="I12" s="3016"/>
      <c r="J12" s="3017"/>
      <c r="K12" s="1054"/>
      <c r="L12" s="1794" t="s">
        <v>1982</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24.6" thickBot="1">
      <c r="A13" s="3010" t="s">
        <v>3239</v>
      </c>
      <c r="B13" s="1876" t="s">
        <v>1980</v>
      </c>
      <c r="C13" s="709">
        <f>ROUND(C16*D16*E16*F16*G16*H16*I16*J16,4)</f>
        <v>0</v>
      </c>
      <c r="D13" s="1877" t="s">
        <v>1981</v>
      </c>
      <c r="E13" s="1878"/>
      <c r="F13" s="1878"/>
      <c r="G13" s="1879"/>
      <c r="H13" s="1879"/>
      <c r="I13" s="1879"/>
      <c r="J13" s="1880"/>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24">
      <c r="A14" s="3006"/>
      <c r="B14" s="1881" t="s">
        <v>1983</v>
      </c>
      <c r="C14" s="1882" t="s">
        <v>1984</v>
      </c>
      <c r="D14" s="1259" t="s">
        <v>1985</v>
      </c>
      <c r="E14" s="27" t="s">
        <v>1986</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6" thickBot="1">
      <c r="A16" s="3006"/>
      <c r="B16" s="3024" t="s">
        <v>1987</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ht="24">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6"/>
      <c r="B18" s="2308"/>
      <c r="C18" s="3032"/>
      <c r="D18" s="3027" t="s">
        <v>3245</v>
      </c>
      <c r="E18" s="2355"/>
      <c r="F18" s="3028" t="s">
        <v>3248</v>
      </c>
      <c r="G18" s="3032">
        <f>ROUND(1-(1/(POWER(1+G24,E18))),4)</f>
        <v>0</v>
      </c>
      <c r="H18" s="3028" t="s">
        <v>3250</v>
      </c>
      <c r="I18" s="3032">
        <f>ROUND(1-(1/(POWER(1+G24,J24))),4)</f>
        <v>0.91279999999999994</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4.4"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3.8">
      <c r="A20" s="3452" t="s">
        <v>3251</v>
      </c>
      <c r="B20" s="159" t="s">
        <v>1992</v>
      </c>
      <c r="C20" s="3029">
        <f>ROUND(IF(F21="与级别开发程度一致",0,(G21-E21)/C21),0)</f>
        <v>0</v>
      </c>
      <c r="D20" s="3044" t="s">
        <v>1996</v>
      </c>
      <c r="E20" s="3045"/>
      <c r="F20" s="3458" t="s">
        <v>1993</v>
      </c>
      <c r="G20" s="3459"/>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7" thickBot="1">
      <c r="A21" s="3453"/>
      <c r="B21" s="2000" t="s">
        <v>1995</v>
      </c>
      <c r="C21" s="2001">
        <f>IF(E3="M4科研用地",SUMPRODUCT((修正!A2:A7=E3)*(修正!B1:M1=G2)*(修正!B2:M7)),SUMPRODUCT((修正!A2:A7=E2)*(修正!B1:M1=G2)*(修正!B2:M7)))</f>
        <v>1.5</v>
      </c>
      <c r="D21" s="179" t="str">
        <f>IF(OR(G2="八级",G2="九级",G2="十级",G2="十一级",G2="十二级"),"五通一平","七通一平")</f>
        <v>五通一平</v>
      </c>
      <c r="E21" s="1991">
        <f>SUMPRODUCT((修正!B1:M1=G2)*(修正!B17:M17))</f>
        <v>185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 thickBot="1">
      <c r="A22" s="1994" t="s">
        <v>363</v>
      </c>
      <c r="B22" s="1995" t="s">
        <v>1998</v>
      </c>
      <c r="C22" s="1996">
        <f>SUMIF(修正!C20:C51,E3,修正!E20:E51)</f>
        <v>0.8</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90" t="s">
        <v>364</v>
      </c>
      <c r="B23" s="1891" t="s">
        <v>1999</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2000</v>
      </c>
      <c r="E23" s="715">
        <v>44197</v>
      </c>
      <c r="F23" s="1894" t="s">
        <v>2001</v>
      </c>
      <c r="G23" s="716">
        <f>'数据-取费表'!B2</f>
        <v>45775</v>
      </c>
      <c r="H23" s="3046" t="s">
        <v>3253</v>
      </c>
      <c r="I23" s="3047" t="str">
        <f>IF(H23="季度增幅（自定义）",SUMIF(N25:N28,E2,O25:O28),"")</f>
        <v/>
      </c>
      <c r="J23" s="3139" t="s">
        <v>3252</v>
      </c>
      <c r="K23" s="1059"/>
      <c r="L23" s="1895" t="s">
        <v>2002</v>
      </c>
      <c r="M23" s="1239">
        <f>ROUND(SUMIF(地价!B2:G2,E2,地价!B16:G16),0)</f>
        <v>0</v>
      </c>
      <c r="N23" s="1896" t="s">
        <v>2003</v>
      </c>
      <c r="O23" s="717">
        <f>ROUNDDOWN(DATEDIF(E23,G23,"M")/3,0)</f>
        <v>17</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2004</v>
      </c>
      <c r="C24" s="718">
        <f>ROUND(POWER(1+G24,J24-I24)*(POWER(1+G24,I24)-1)/(POWER(1+G24,J24)-1),4)</f>
        <v>0.78139999999999998</v>
      </c>
      <c r="D24" s="1900" t="s">
        <v>2005</v>
      </c>
      <c r="E24" s="1246">
        <f>存贷款利率!E27/100</f>
        <v>4.3499999999999997E-2</v>
      </c>
      <c r="F24" s="1900" t="s">
        <v>1997</v>
      </c>
      <c r="G24" s="722">
        <f>SUMIF(M30:Q30,E2,M33:Q33)</f>
        <v>0.05</v>
      </c>
      <c r="H24" s="1900" t="s">
        <v>2006</v>
      </c>
      <c r="I24" s="723">
        <f>SUMIF('数据-取费表'!C6:C15,E2,'数据-取费表'!F6:F15)/COUNTIF('数据-取费表'!C6:C15,E2)</f>
        <v>25.6</v>
      </c>
      <c r="J24" s="724">
        <f>IF(E2="住宅",70,IF(E2="商业",40,50))</f>
        <v>50</v>
      </c>
      <c r="K24" s="1059"/>
      <c r="L24" s="1901" t="s">
        <v>2007</v>
      </c>
      <c r="M24" s="1240">
        <f>ROUND(SUMPRODUCT((地价!A4:A16=YEAR(G23)&amp;"-"&amp;ROUNDUP(MONTH(G23)/3,0))*(地价!B2:G2=E2)*(地价!B4:G16)),0)</f>
        <v>0</v>
      </c>
      <c r="N24" s="1902" t="s">
        <v>2008</v>
      </c>
      <c r="O24" s="1903" t="s">
        <v>2009</v>
      </c>
      <c r="P24" s="1904" t="s">
        <v>2010</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5" t="s">
        <v>366</v>
      </c>
      <c r="B25" s="1906" t="s">
        <v>3332</v>
      </c>
      <c r="C25" s="461">
        <f>IF(B25="容积率修正",IF(G3&lt;10,D26,J26),C27)</f>
        <v>0.95369999999999999</v>
      </c>
      <c r="D25" s="1907"/>
      <c r="E25" s="1907"/>
      <c r="F25" s="1907"/>
      <c r="G25" s="1907"/>
      <c r="H25" s="1907"/>
      <c r="I25" s="1907"/>
      <c r="J25" s="1908"/>
      <c r="K25" s="1059"/>
      <c r="L25" s="2550"/>
      <c r="M25" s="2550"/>
      <c r="N25" s="1909" t="s">
        <v>2011</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2012</v>
      </c>
      <c r="B26" s="1910" t="s">
        <v>2013</v>
      </c>
      <c r="C26" s="1910" t="s">
        <v>3254</v>
      </c>
      <c r="D26" s="1261">
        <f>IF(E26=G26,F26,IF(G3&lt;10,ROUND(F26+(H26-F26)*(G3-E26)/(G26-E26),4),"——"))</f>
        <v>0.95369999999999999</v>
      </c>
      <c r="E26" s="706">
        <f>ROUNDDOWN(G3,1)</f>
        <v>1.7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06">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1910" t="s">
        <v>3255</v>
      </c>
      <c r="J26" s="374" t="str">
        <f>IF(G3&gt;=10,D115,"——")</f>
        <v>——</v>
      </c>
      <c r="K26" s="1059"/>
      <c r="L26" s="2550"/>
      <c r="M26" s="2550"/>
      <c r="N26" s="1909" t="s">
        <v>2014</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2015</v>
      </c>
      <c r="B27" s="1911" t="s">
        <v>2016</v>
      </c>
      <c r="C27" s="789">
        <f>ROUND(IF(I3&lt;6,SUMPRODUCT((B106:B110=I3)*(C105:N105=G2)*(C106:N110)),SUMIF(C105:N105,G2,C112:N112)),4)</f>
        <v>0</v>
      </c>
      <c r="D27" s="1840"/>
      <c r="E27" s="1840"/>
      <c r="F27" s="1912"/>
      <c r="G27" s="1913"/>
      <c r="H27" s="1914"/>
      <c r="I27" s="1915"/>
      <c r="J27" s="1916"/>
      <c r="K27" s="1054"/>
      <c r="L27" s="1842"/>
      <c r="M27" s="1842"/>
      <c r="N27" s="1909" t="s">
        <v>2017</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2018</v>
      </c>
      <c r="C28" s="714">
        <f>SUMIF(A47:A101,E2,B47:B101)</f>
        <v>1.0402</v>
      </c>
      <c r="D28" s="1892"/>
      <c r="E28" s="1917"/>
      <c r="F28" s="1917"/>
      <c r="G28" s="1917"/>
      <c r="H28" s="1917"/>
      <c r="I28" s="1917"/>
      <c r="J28" s="1918"/>
      <c r="K28" s="1059"/>
      <c r="L28" s="2550"/>
      <c r="M28" s="2550"/>
      <c r="N28" s="1919"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2020</v>
      </c>
      <c r="C29" s="719"/>
      <c r="D29" s="1866"/>
      <c r="E29" s="1866"/>
      <c r="F29" s="1921"/>
      <c r="G29" s="1866"/>
      <c r="H29" s="1866"/>
      <c r="I29" s="1866"/>
      <c r="J29" s="1867"/>
      <c r="K29" s="1054"/>
      <c r="L29" s="1842"/>
      <c r="M29" s="1842"/>
      <c r="N29" s="2547" t="s">
        <v>2021</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2022</v>
      </c>
      <c r="C30" s="2143">
        <f>IF(B25="容积率修正",E33+SUM(E37:E42),SUM(V2:V16)+SUM(E37:E42))</f>
        <v>6446</v>
      </c>
      <c r="D30" s="1923"/>
      <c r="E30" s="1840"/>
      <c r="F30" s="1924"/>
      <c r="G30" s="1840"/>
      <c r="H30" s="1840"/>
      <c r="I30" s="1840"/>
      <c r="J30" s="1925"/>
      <c r="K30" s="1054"/>
      <c r="L30" s="3053" t="s">
        <v>1934</v>
      </c>
      <c r="M30" s="3054" t="s">
        <v>1988</v>
      </c>
      <c r="N30" s="3054" t="s">
        <v>1989</v>
      </c>
      <c r="O30" s="3054" t="s">
        <v>1990</v>
      </c>
      <c r="P30" s="3054" t="s">
        <v>1991</v>
      </c>
      <c r="Q30" s="3057" t="s">
        <v>3259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2023</v>
      </c>
      <c r="C31" s="720">
        <f>E34+SUM(I37:I42)</f>
        <v>36</v>
      </c>
      <c r="D31" s="1927"/>
      <c r="E31" s="1928"/>
      <c r="F31" s="1929"/>
      <c r="G31" s="1928"/>
      <c r="H31" s="1928"/>
      <c r="I31" s="1928"/>
      <c r="J31" s="1930"/>
      <c r="K31" s="1054"/>
      <c r="L31" s="3055" t="s">
        <v>1994</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2024</v>
      </c>
      <c r="C32" s="1933" t="s">
        <v>2025</v>
      </c>
      <c r="D32" s="1933" t="s">
        <v>2026</v>
      </c>
      <c r="E32" s="1934" t="s">
        <v>2027</v>
      </c>
      <c r="F32" s="1935"/>
      <c r="G32" s="1879"/>
      <c r="H32" s="1879"/>
      <c r="I32" s="1879"/>
      <c r="J32" s="1880"/>
      <c r="K32" s="1054"/>
      <c r="L32" s="3056" t="s">
        <v>1997</v>
      </c>
      <c r="M32" s="2354">
        <f>ROUND($E$24*(1+M31),3)</f>
        <v>5.3999999999999999E-2</v>
      </c>
      <c r="N32" s="2354">
        <f>ROUND($E$24*(1+N31),3)</f>
        <v>5.1999999999999998E-2</v>
      </c>
      <c r="O32" s="2354">
        <f>ROUND($E$24*(1+O31),3)</f>
        <v>0.05</v>
      </c>
      <c r="P32" s="2354">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2028</v>
      </c>
      <c r="C33" s="167">
        <f>ROUND(C5*C22*C23*C24*C25*C28,0)</f>
        <v>2084</v>
      </c>
      <c r="D33" s="1938">
        <f>'数据-汇总表'!F27</f>
        <v>30243.989999999998</v>
      </c>
      <c r="E33" s="725">
        <f>ROUND(C33*D33/10000,0)</f>
        <v>6303</v>
      </c>
      <c r="F33" s="3048" t="s">
        <v>3257</v>
      </c>
      <c r="G33" s="1939"/>
      <c r="H33" s="1939"/>
      <c r="I33" s="1939"/>
      <c r="J33" s="1940"/>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2029</v>
      </c>
      <c r="C34" s="179">
        <f>ROUND(IF(E2="工业",C33*M42,IF(B25="楼层修正",SUM(V2:V16)*M41*10000/D34,C33*M41)),0)</f>
        <v>521</v>
      </c>
      <c r="D34" s="1943"/>
      <c r="E34" s="725">
        <f>ROUND(IF(B25="楼层修正",SUM(V2:V16)*M40,C34*D34/10000),0)</f>
        <v>0</v>
      </c>
      <c r="F34" s="1944" t="s">
        <v>2030</v>
      </c>
      <c r="G34" s="1945"/>
      <c r="H34" s="1945"/>
      <c r="I34" s="1945"/>
      <c r="J34" s="1946"/>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2031</v>
      </c>
      <c r="C35" s="3049" t="s">
        <v>3258</v>
      </c>
      <c r="D35" s="1879"/>
      <c r="E35" s="1949"/>
      <c r="F35" s="1949"/>
      <c r="G35" s="1877" t="s">
        <v>2032</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2025</v>
      </c>
      <c r="D36" s="433" t="s">
        <v>2026</v>
      </c>
      <c r="E36" s="433" t="s">
        <v>2027</v>
      </c>
      <c r="F36" s="333" t="s">
        <v>2033</v>
      </c>
      <c r="G36" s="1952" t="s">
        <v>2025</v>
      </c>
      <c r="H36" s="1952" t="s">
        <v>2026</v>
      </c>
      <c r="I36" s="1952" t="s">
        <v>2027</v>
      </c>
      <c r="J36" s="235"/>
      <c r="K36" s="1962" t="s">
        <v>3262</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456"/>
      <c r="B37" s="1953" t="s">
        <v>2034</v>
      </c>
      <c r="C37" s="167">
        <f>ROUND(D5*C22*C23*C24*C28*F37,0)</f>
        <v>1093</v>
      </c>
      <c r="D37" s="1938"/>
      <c r="E37" s="163">
        <f>ROUND(C37*D37/10000,0)</f>
        <v>0</v>
      </c>
      <c r="F37" s="163">
        <f>SUMIF(修正!A57:A68,G2,修正!B57:B68)</f>
        <v>0.5</v>
      </c>
      <c r="G37" s="163">
        <f>ROUND(IF(E2="工业",C37*$M$42,C37*$M$41),0)</f>
        <v>273</v>
      </c>
      <c r="H37" s="163">
        <f>D37</f>
        <v>0</v>
      </c>
      <c r="I37" s="163">
        <f>ROUND(G37*H37/10000,0)</f>
        <v>0</v>
      </c>
      <c r="J37" s="2752"/>
      <c r="K37" s="3059" t="s">
        <v>3263</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57"/>
      <c r="B38" s="1882" t="s">
        <v>2035</v>
      </c>
      <c r="C38" s="167">
        <f>ROUND(D5*C22*C23*C24*C28*F38,0)</f>
        <v>437</v>
      </c>
      <c r="D38" s="1938"/>
      <c r="E38" s="163">
        <f t="shared" ref="E38:E42" si="4">ROUND(C38*D38/10000,0)</f>
        <v>0</v>
      </c>
      <c r="F38" s="163">
        <f>SUMIF(修正!A57:A68,G2,修正!C57:C68)</f>
        <v>0.2</v>
      </c>
      <c r="G38" s="163">
        <f>ROUND(IF(E2="工业",C38*$M$42,C38*$M$41),0)</f>
        <v>109</v>
      </c>
      <c r="H38" s="163">
        <f t="shared" ref="H38:H42" si="5">D38</f>
        <v>0</v>
      </c>
      <c r="I38" s="163">
        <f t="shared" ref="I38:I42"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457"/>
      <c r="B39" s="1882" t="s">
        <v>3256</v>
      </c>
      <c r="C39" s="167">
        <f>ROUND(D5*C22*C23*C24*C28*F39,0)</f>
        <v>437</v>
      </c>
      <c r="D39" s="1938"/>
      <c r="E39" s="163">
        <f t="shared" si="4"/>
        <v>0</v>
      </c>
      <c r="F39" s="163">
        <f>SUMIF(修正!A57:A68,G2,修正!D57:D68)</f>
        <v>0.2</v>
      </c>
      <c r="G39" s="163">
        <f>ROUND(IF(E2="工业",C39*$M$42,C39*$M$41),0)</f>
        <v>109</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2036</v>
      </c>
      <c r="C40" s="163">
        <f>ROUND(D5*C22*C23*C24*C28*F40,0)</f>
        <v>437</v>
      </c>
      <c r="D40" s="1938"/>
      <c r="E40" s="163">
        <f t="shared" si="4"/>
        <v>0</v>
      </c>
      <c r="F40" s="167">
        <f>SUMIF(修正!A57:A68,G2,修正!E57:E68)</f>
        <v>0.2</v>
      </c>
      <c r="G40" s="163">
        <f>ROUND(IF(E2="工业",C40*$M$42,C40*$M$41),0)</f>
        <v>109</v>
      </c>
      <c r="H40" s="163">
        <f t="shared" si="5"/>
        <v>0</v>
      </c>
      <c r="I40" s="163">
        <f t="shared" si="6"/>
        <v>0</v>
      </c>
      <c r="J40" s="937"/>
      <c r="L40" s="1955" t="s">
        <v>2037</v>
      </c>
      <c r="M40" s="1956"/>
      <c r="Z40" s="1055"/>
      <c r="AA40" s="1055"/>
      <c r="AB40" s="1055"/>
      <c r="AC40" s="1055"/>
      <c r="AD40" s="1055"/>
      <c r="AE40" s="1055"/>
      <c r="AF40" s="1055"/>
      <c r="AG40" s="1055"/>
      <c r="AH40" s="1055"/>
      <c r="AI40" s="1055"/>
      <c r="AJ40" s="1055"/>
    </row>
    <row r="41" spans="1:37" s="1054" customFormat="1">
      <c r="A41" s="1954"/>
      <c r="B41" s="1882" t="s">
        <v>2038</v>
      </c>
      <c r="C41" s="163">
        <f>ROUND(D5*C22*C23*C44*C28*F41,0)</f>
        <v>437</v>
      </c>
      <c r="D41" s="1938"/>
      <c r="E41" s="163">
        <f t="shared" si="4"/>
        <v>0</v>
      </c>
      <c r="F41" s="167">
        <f>SUMIF(修正!A57:A68,G2,修正!F57:F68)</f>
        <v>0.2</v>
      </c>
      <c r="G41" s="163">
        <f>ROUND(IF(E2="工业",C41*$M$42,C41*$M$41),0)</f>
        <v>109</v>
      </c>
      <c r="H41" s="163">
        <f t="shared" si="5"/>
        <v>0</v>
      </c>
      <c r="I41" s="163">
        <f t="shared" si="6"/>
        <v>0</v>
      </c>
      <c r="J41" s="937"/>
      <c r="L41" s="3060" t="s">
        <v>3264</v>
      </c>
      <c r="M41" s="1957">
        <v>0.25</v>
      </c>
      <c r="Z41" s="1055"/>
      <c r="AA41" s="1055"/>
      <c r="AB41" s="1055"/>
      <c r="AC41" s="1055"/>
      <c r="AD41" s="1055"/>
      <c r="AE41" s="1055"/>
      <c r="AF41" s="1055"/>
      <c r="AG41" s="1055"/>
      <c r="AH41" s="1055"/>
      <c r="AI41" s="1055"/>
      <c r="AJ41" s="1055"/>
    </row>
    <row r="42" spans="1:37" s="1054" customFormat="1" ht="13.8" thickBot="1">
      <c r="A42" s="1941"/>
      <c r="B42" s="1958" t="s">
        <v>2039</v>
      </c>
      <c r="C42" s="179">
        <f>ROUND(D5*C22*C23*C44*C28*F42,0)</f>
        <v>219</v>
      </c>
      <c r="D42" s="1943">
        <f>'数据-汇总表'!G20</f>
        <v>6536.8700000000008</v>
      </c>
      <c r="E42" s="179">
        <f t="shared" si="4"/>
        <v>143</v>
      </c>
      <c r="F42" s="721">
        <f>SUMIF(修正!A57:A68,G2,修正!G57:G68)</f>
        <v>0.1</v>
      </c>
      <c r="G42" s="179">
        <f>ROUND(IF(E2="工业",C42*$M$42,C42*$M$41),0)</f>
        <v>55</v>
      </c>
      <c r="H42" s="179">
        <f t="shared" si="5"/>
        <v>6536.8700000000008</v>
      </c>
      <c r="I42" s="179">
        <f t="shared" si="6"/>
        <v>36</v>
      </c>
      <c r="J42" s="1959"/>
      <c r="L42" s="1960" t="s">
        <v>1991</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2119</v>
      </c>
      <c r="C44" s="333">
        <f>ROUND(POWER(1+E44,H44-G44)*(POWER(1+E44,G44)-1)/(POWER(1+E44,H44)-1),4)</f>
        <v>0.78139999999999998</v>
      </c>
      <c r="D44" s="163" t="s">
        <v>1997</v>
      </c>
      <c r="E44" s="1989">
        <f>G24</f>
        <v>0.05</v>
      </c>
      <c r="F44" s="163" t="s">
        <v>2006</v>
      </c>
      <c r="G44" s="175">
        <f>项目基本情况!I15</f>
        <v>25.6</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2040</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2041</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2042</v>
      </c>
      <c r="B49" s="1260" t="s">
        <v>2043</v>
      </c>
      <c r="C49" s="1260" t="s">
        <v>2044</v>
      </c>
      <c r="D49" s="1260" t="s">
        <v>2045</v>
      </c>
      <c r="E49" s="699" t="s">
        <v>2046</v>
      </c>
      <c r="F49" s="1969" t="s">
        <v>2047</v>
      </c>
      <c r="G49" s="1260" t="s">
        <v>310</v>
      </c>
      <c r="H49" s="1970" t="s">
        <v>2048</v>
      </c>
      <c r="I49" s="1260" t="s">
        <v>2049</v>
      </c>
      <c r="J49" s="530" t="s">
        <v>1719</v>
      </c>
      <c r="K49" s="530" t="s">
        <v>1720</v>
      </c>
      <c r="L49" s="530" t="s">
        <v>1721</v>
      </c>
      <c r="M49" s="530" t="s">
        <v>1722</v>
      </c>
      <c r="N49" s="530" t="s">
        <v>1723</v>
      </c>
      <c r="AA49" s="1055"/>
      <c r="AB49" s="1055"/>
      <c r="AC49" s="1055"/>
      <c r="AD49" s="1055"/>
      <c r="AE49" s="1055"/>
      <c r="AF49" s="1055"/>
      <c r="AG49" s="1055"/>
      <c r="AH49" s="1055"/>
      <c r="AI49" s="1055"/>
      <c r="AJ49" s="1055"/>
      <c r="AK49" s="1055"/>
    </row>
    <row r="50" spans="1:37" s="1054" customFormat="1" ht="39.6">
      <c r="A50" s="1968" t="s">
        <v>2050</v>
      </c>
      <c r="B50" s="1971" t="str">
        <f>估价对象房地状况!C4</f>
        <v>估价对象位于XX商圈，周边商业氛围成熟，人流量大，商业繁华度好</v>
      </c>
      <c r="C50" s="1885"/>
      <c r="D50" s="1000">
        <f t="shared" ref="D50:D58" si="7">SUMIF($J$49:$N$49,C50,J50:N50)</f>
        <v>0</v>
      </c>
      <c r="E50" s="700">
        <f>ROUND(SUM(D50:D58),4)</f>
        <v>0</v>
      </c>
      <c r="F50" s="1673"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c r="A51" s="1968" t="s">
        <v>2051</v>
      </c>
      <c r="B51" s="1260" t="str">
        <f>估价对象房地状况!C18</f>
        <v>估价对象周边道路状况、公共交通通达情况、停车便捷程度，综合评价交通便捷度较好</v>
      </c>
      <c r="C51" s="1885"/>
      <c r="D51" s="1000">
        <f t="shared" si="7"/>
        <v>0</v>
      </c>
      <c r="E51" s="701"/>
      <c r="F51" s="1673"/>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8" t="s">
        <v>3266</v>
      </c>
      <c r="B52" s="1260">
        <f>估价对象房地状况!C19</f>
        <v>0</v>
      </c>
      <c r="C52" s="1885"/>
      <c r="D52" s="1000">
        <f t="shared" si="7"/>
        <v>0</v>
      </c>
      <c r="E52" s="701"/>
      <c r="F52" s="1673"/>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8" t="s">
        <v>2052</v>
      </c>
      <c r="B53" s="1972" t="s">
        <v>2053</v>
      </c>
      <c r="C53" s="1885"/>
      <c r="D53" s="1000">
        <f t="shared" si="7"/>
        <v>0</v>
      </c>
      <c r="E53" s="701"/>
      <c r="F53" s="1673"/>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2054</v>
      </c>
      <c r="B54" s="1260">
        <f>估价对象房地状况!C24</f>
        <v>0</v>
      </c>
      <c r="C54" s="1885"/>
      <c r="D54" s="1000">
        <f t="shared" si="7"/>
        <v>0</v>
      </c>
      <c r="E54" s="701"/>
      <c r="F54" s="1673"/>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8" t="s">
        <v>2055</v>
      </c>
      <c r="B55" s="1973" t="s">
        <v>2056</v>
      </c>
      <c r="C55" s="1885"/>
      <c r="D55" s="1000">
        <f t="shared" si="7"/>
        <v>0</v>
      </c>
      <c r="E55" s="701"/>
      <c r="F55" s="1673"/>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4">
      <c r="A56" s="1974" t="s">
        <v>2057</v>
      </c>
      <c r="B56" s="1238" t="str">
        <f>估价对象房地状况!C21</f>
        <v>估价对象所在区域公共配套设施齐备情况</v>
      </c>
      <c r="C56" s="1885"/>
      <c r="D56" s="1000">
        <f t="shared" si="7"/>
        <v>0</v>
      </c>
      <c r="E56" s="701"/>
      <c r="F56" s="1673"/>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c r="A57" s="1974" t="s">
        <v>2058</v>
      </c>
      <c r="B57" s="1260" t="str">
        <f>估价对象房地状况!C22</f>
        <v>估价对象所在区域基础设施水平</v>
      </c>
      <c r="C57" s="1885"/>
      <c r="D57" s="1000">
        <f t="shared" si="7"/>
        <v>0</v>
      </c>
      <c r="E57" s="701"/>
      <c r="F57" s="1673"/>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5" t="s">
        <v>2059</v>
      </c>
      <c r="B58" s="1976" t="str">
        <f>估价对象房地状况!C20</f>
        <v>区域自然环境：；人文环境；综合评价环境状况一般</v>
      </c>
      <c r="C58" s="1885"/>
      <c r="D58" s="1000">
        <f t="shared" si="7"/>
        <v>0</v>
      </c>
      <c r="E58" s="702"/>
      <c r="F58" s="1673"/>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5" t="s">
        <v>2060</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2042</v>
      </c>
      <c r="B60" s="1260"/>
      <c r="C60" s="1260" t="s">
        <v>2044</v>
      </c>
      <c r="D60" s="1260" t="s">
        <v>2045</v>
      </c>
      <c r="E60" s="699" t="s">
        <v>2046</v>
      </c>
      <c r="F60" s="1969" t="s">
        <v>2061</v>
      </c>
      <c r="G60" s="1260" t="s">
        <v>310</v>
      </c>
      <c r="H60" s="1970" t="s">
        <v>2048</v>
      </c>
      <c r="I60" s="1260" t="s">
        <v>2049</v>
      </c>
      <c r="J60" s="530" t="s">
        <v>1719</v>
      </c>
      <c r="K60" s="530" t="s">
        <v>1720</v>
      </c>
      <c r="L60" s="530" t="s">
        <v>1721</v>
      </c>
      <c r="M60" s="530" t="s">
        <v>1722</v>
      </c>
      <c r="N60" s="530" t="s">
        <v>1723</v>
      </c>
      <c r="AA60" s="1055"/>
      <c r="AB60" s="1055"/>
      <c r="AC60" s="1055"/>
      <c r="AD60" s="1055"/>
      <c r="AE60" s="1055"/>
      <c r="AF60" s="1055"/>
      <c r="AG60" s="1055"/>
      <c r="AH60" s="1055"/>
      <c r="AI60" s="1055"/>
      <c r="AJ60" s="1055"/>
      <c r="AK60" s="1055"/>
    </row>
    <row r="61" spans="1:37" s="1054" customFormat="1" ht="39.6">
      <c r="A61" s="1968" t="s">
        <v>2062</v>
      </c>
      <c r="B61" s="1971" t="str">
        <f>估价对象房地状况!C17</f>
        <v>估价对象位于XX商圈，周边办公楼项目较多，入驻率高，办公集聚程度较好</v>
      </c>
      <c r="C61" s="1885"/>
      <c r="D61" s="1000">
        <f t="shared" ref="D61:D69" si="12">SUMIF($J$60:$N$60,C61,J61:N61)</f>
        <v>0</v>
      </c>
      <c r="E61" s="700">
        <f>ROUND(SUM(D61:D69),4)</f>
        <v>0</v>
      </c>
      <c r="F61" s="1673"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2051</v>
      </c>
      <c r="B62" s="1260" t="str">
        <f>估价对象房地状况!C18</f>
        <v>估价对象周边道路状况、公共交通通达情况、停车便捷程度，综合评价交通便捷度较好</v>
      </c>
      <c r="C62" s="1885"/>
      <c r="D62" s="1000">
        <f t="shared" si="12"/>
        <v>0</v>
      </c>
      <c r="E62" s="701"/>
      <c r="F62" s="1673"/>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8" t="s">
        <v>3266</v>
      </c>
      <c r="B63" s="1260">
        <f>估价对象房地状况!C19</f>
        <v>0</v>
      </c>
      <c r="C63" s="1885"/>
      <c r="D63" s="1000">
        <f t="shared" si="12"/>
        <v>0</v>
      </c>
      <c r="E63" s="701"/>
      <c r="F63" s="1673"/>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2052</v>
      </c>
      <c r="B64" s="1972" t="s">
        <v>2053</v>
      </c>
      <c r="C64" s="1885"/>
      <c r="D64" s="1000">
        <f t="shared" si="12"/>
        <v>0</v>
      </c>
      <c r="E64" s="701"/>
      <c r="F64" s="1673"/>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2054</v>
      </c>
      <c r="B65" s="1260">
        <f>估价对象房地状况!C24</f>
        <v>0</v>
      </c>
      <c r="C65" s="1885"/>
      <c r="D65" s="1000">
        <f t="shared" si="12"/>
        <v>0</v>
      </c>
      <c r="E65" s="701"/>
      <c r="F65" s="1673"/>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2055</v>
      </c>
      <c r="B66" s="1973" t="s">
        <v>2056</v>
      </c>
      <c r="C66" s="1885"/>
      <c r="D66" s="1000">
        <f t="shared" si="12"/>
        <v>0</v>
      </c>
      <c r="E66" s="701"/>
      <c r="F66" s="1673"/>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2057</v>
      </c>
      <c r="B67" s="1238" t="str">
        <f>估价对象房地状况!C21</f>
        <v>估价对象所在区域公共配套设施齐备情况</v>
      </c>
      <c r="C67" s="1885"/>
      <c r="D67" s="1000">
        <f t="shared" si="12"/>
        <v>0</v>
      </c>
      <c r="E67" s="701"/>
      <c r="F67" s="1673"/>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2058</v>
      </c>
      <c r="B68" s="1238" t="str">
        <f>估价对象房地状况!C22</f>
        <v>估价对象所在区域基础设施水平</v>
      </c>
      <c r="C68" s="1885"/>
      <c r="D68" s="1000">
        <f t="shared" si="12"/>
        <v>0</v>
      </c>
      <c r="E68" s="701"/>
      <c r="F68" s="1673"/>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2059</v>
      </c>
      <c r="B69" s="1977" t="str">
        <f>估价对象房地状况!C20</f>
        <v>区域自然环境：；人文环境；综合评价环境状况一般</v>
      </c>
      <c r="C69" s="1885"/>
      <c r="D69" s="1000">
        <f t="shared" si="12"/>
        <v>0</v>
      </c>
      <c r="E69" s="702"/>
      <c r="F69" s="1673"/>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2063</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2042</v>
      </c>
      <c r="B71" s="1260"/>
      <c r="C71" s="1260" t="s">
        <v>2044</v>
      </c>
      <c r="D71" s="1260" t="s">
        <v>2045</v>
      </c>
      <c r="E71" s="699" t="s">
        <v>2046</v>
      </c>
      <c r="F71" s="1969" t="s">
        <v>2061</v>
      </c>
      <c r="G71" s="1260" t="s">
        <v>310</v>
      </c>
      <c r="H71" s="1970" t="s">
        <v>2048</v>
      </c>
      <c r="I71" s="1260" t="s">
        <v>2049</v>
      </c>
      <c r="J71" s="530" t="s">
        <v>1719</v>
      </c>
      <c r="K71" s="530" t="s">
        <v>1720</v>
      </c>
      <c r="L71" s="530" t="s">
        <v>1721</v>
      </c>
      <c r="M71" s="530" t="s">
        <v>1722</v>
      </c>
      <c r="N71" s="530" t="s">
        <v>1723</v>
      </c>
      <c r="AA71" s="1055"/>
      <c r="AB71" s="1055"/>
      <c r="AC71" s="1055"/>
      <c r="AD71" s="1055"/>
      <c r="AE71" s="1055"/>
      <c r="AF71" s="1055"/>
      <c r="AG71" s="1055"/>
      <c r="AH71" s="1055"/>
      <c r="AI71" s="1055"/>
      <c r="AJ71" s="1055"/>
      <c r="AK71" s="1055"/>
    </row>
    <row r="72" spans="1:37" s="1054" customFormat="1" ht="52.8">
      <c r="A72" s="1968" t="s">
        <v>2064</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2051</v>
      </c>
      <c r="B73" s="1260" t="str">
        <f>估价对象房地状况!C18</f>
        <v>估价对象周边道路状况、公共交通通达情况、停车便捷程度，综合评价交通便捷度较好</v>
      </c>
      <c r="C73" s="1885"/>
      <c r="D73" s="1000">
        <f t="shared" si="17"/>
        <v>0</v>
      </c>
      <c r="E73" s="703"/>
      <c r="F73" s="1673"/>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8" t="s">
        <v>3266</v>
      </c>
      <c r="B74" s="1260">
        <f>估价对象房地状况!C19</f>
        <v>0</v>
      </c>
      <c r="C74" s="1885"/>
      <c r="D74" s="1000">
        <f t="shared" si="17"/>
        <v>0</v>
      </c>
      <c r="E74" s="703"/>
      <c r="F74" s="1673"/>
      <c r="G74" s="998"/>
      <c r="H74" s="1001" t="str">
        <f t="shared" si="18"/>
        <v>——</v>
      </c>
      <c r="I74" s="3066">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2065</v>
      </c>
      <c r="B75" s="1260">
        <f>估价对象房地状况!C24</f>
        <v>0</v>
      </c>
      <c r="C75" s="1885"/>
      <c r="D75" s="1000">
        <f t="shared" si="17"/>
        <v>0</v>
      </c>
      <c r="E75" s="703"/>
      <c r="F75" s="1673"/>
      <c r="G75" s="998"/>
      <c r="H75" s="1001" t="str">
        <f t="shared" si="18"/>
        <v>——</v>
      </c>
      <c r="I75" s="3066">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2057</v>
      </c>
      <c r="B76" s="1238" t="str">
        <f>估价对象房地状况!C21</f>
        <v>估价对象所在区域公共配套设施齐备情况</v>
      </c>
      <c r="C76" s="1885"/>
      <c r="D76" s="1000">
        <f t="shared" si="17"/>
        <v>0</v>
      </c>
      <c r="E76" s="703"/>
      <c r="F76" s="1673"/>
      <c r="G76" s="998"/>
      <c r="H76" s="1001" t="str">
        <f t="shared" si="18"/>
        <v>——</v>
      </c>
      <c r="I76" s="3066">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2058</v>
      </c>
      <c r="B77" s="1238" t="str">
        <f>估价对象房地状况!C22</f>
        <v>估价对象所在区域基础设施水平</v>
      </c>
      <c r="C77" s="1885"/>
      <c r="D77" s="1000">
        <f t="shared" si="17"/>
        <v>0</v>
      </c>
      <c r="E77" s="703"/>
      <c r="F77" s="1673"/>
      <c r="G77" s="998"/>
      <c r="H77" s="1001" t="str">
        <f t="shared" si="18"/>
        <v>——</v>
      </c>
      <c r="I77" s="3066">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2055</v>
      </c>
      <c r="B78" s="1973" t="s">
        <v>2056</v>
      </c>
      <c r="C78" s="1885"/>
      <c r="D78" s="1000">
        <f t="shared" si="17"/>
        <v>0</v>
      </c>
      <c r="E78" s="703"/>
      <c r="F78" s="1673"/>
      <c r="G78" s="998"/>
      <c r="H78" s="1001" t="str">
        <f t="shared" si="18"/>
        <v>——</v>
      </c>
      <c r="I78" s="3066">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2059</v>
      </c>
      <c r="B79" s="1971" t="str">
        <f>估价对象房地状况!C20</f>
        <v>区域自然环境：；人文环境；综合评价环境状况一般</v>
      </c>
      <c r="C79" s="1885"/>
      <c r="D79" s="1000">
        <f t="shared" si="17"/>
        <v>0</v>
      </c>
      <c r="E79" s="703"/>
      <c r="F79" s="1673"/>
      <c r="G79" s="998"/>
      <c r="H79" s="1001" t="str">
        <f t="shared" si="18"/>
        <v>——</v>
      </c>
      <c r="I79" s="3066">
        <v>0.12</v>
      </c>
      <c r="J79" s="999">
        <f t="shared" si="19"/>
        <v>0</v>
      </c>
      <c r="K79" s="999">
        <f t="shared" si="20"/>
        <v>0</v>
      </c>
      <c r="L79" s="999">
        <v>0</v>
      </c>
      <c r="M79" s="999">
        <f t="shared" si="21"/>
        <v>0</v>
      </c>
      <c r="N79" s="999">
        <f t="shared" si="21"/>
        <v>0</v>
      </c>
      <c r="Z79" s="1843"/>
      <c r="AA79" s="1893"/>
      <c r="AG79" s="1056"/>
      <c r="AK79" s="1893"/>
    </row>
    <row r="80" spans="1:37" ht="36.6" thickBot="1">
      <c r="A80" s="1975" t="s">
        <v>2066</v>
      </c>
      <c r="B80" s="1979"/>
      <c r="C80" s="1885"/>
      <c r="D80" s="1000">
        <f t="shared" si="17"/>
        <v>0</v>
      </c>
      <c r="E80" s="704"/>
      <c r="F80" s="1673"/>
      <c r="G80" s="998"/>
      <c r="H80" s="1001" t="str">
        <f t="shared" si="18"/>
        <v>——</v>
      </c>
      <c r="I80" s="3067">
        <v>0.05</v>
      </c>
      <c r="J80" s="999">
        <f t="shared" si="19"/>
        <v>0</v>
      </c>
      <c r="K80" s="999">
        <f t="shared" si="20"/>
        <v>0</v>
      </c>
      <c r="L80" s="999">
        <v>0</v>
      </c>
      <c r="M80" s="999">
        <f t="shared" si="21"/>
        <v>0</v>
      </c>
      <c r="N80" s="999">
        <f t="shared" si="21"/>
        <v>0</v>
      </c>
      <c r="Z80" s="1843"/>
      <c r="AA80" s="1893"/>
      <c r="AG80" s="1056"/>
      <c r="AK80" s="1893"/>
    </row>
    <row r="81" spans="1:37" ht="14.4">
      <c r="A81" s="1965" t="s">
        <v>2067</v>
      </c>
      <c r="B81" s="1966">
        <f>1+E83</f>
        <v>1</v>
      </c>
      <c r="C81" s="697"/>
      <c r="D81" s="697"/>
      <c r="E81" s="698"/>
      <c r="F81" s="1967"/>
      <c r="G81" s="3"/>
      <c r="H81" s="3"/>
      <c r="I81" s="3"/>
      <c r="J81" s="4"/>
      <c r="K81" s="4"/>
      <c r="L81" s="4"/>
      <c r="M81" s="4"/>
      <c r="N81" s="4"/>
      <c r="Z81" s="1843"/>
      <c r="AA81" s="1893"/>
      <c r="AG81" s="1056"/>
      <c r="AK81" s="1893"/>
    </row>
    <row r="82" spans="1:37" ht="25.2">
      <c r="A82" s="1968" t="s">
        <v>2042</v>
      </c>
      <c r="B82" s="1260"/>
      <c r="C82" s="1260" t="s">
        <v>2044</v>
      </c>
      <c r="D82" s="1260" t="s">
        <v>2045</v>
      </c>
      <c r="E82" s="699" t="s">
        <v>2046</v>
      </c>
      <c r="F82" s="1969" t="s">
        <v>2061</v>
      </c>
      <c r="G82" s="1260" t="s">
        <v>310</v>
      </c>
      <c r="H82" s="1970" t="s">
        <v>2048</v>
      </c>
      <c r="I82" s="1260" t="s">
        <v>2049</v>
      </c>
      <c r="J82" s="530" t="s">
        <v>1719</v>
      </c>
      <c r="K82" s="530" t="s">
        <v>1720</v>
      </c>
      <c r="L82" s="530" t="s">
        <v>1721</v>
      </c>
      <c r="M82" s="530" t="s">
        <v>1722</v>
      </c>
      <c r="N82" s="530" t="s">
        <v>1723</v>
      </c>
      <c r="Z82" s="1843"/>
      <c r="AA82" s="1893"/>
      <c r="AG82" s="1056"/>
      <c r="AK82" s="1893"/>
    </row>
    <row r="83" spans="1:37" ht="39.6">
      <c r="A83" s="1968" t="s">
        <v>2068</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2051</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6">
        <v>0.3</v>
      </c>
      <c r="J84" s="999">
        <f t="shared" si="24"/>
        <v>0</v>
      </c>
      <c r="K84" s="999">
        <f t="shared" si="25"/>
        <v>0</v>
      </c>
      <c r="L84" s="999">
        <v>0</v>
      </c>
      <c r="M84" s="999">
        <f t="shared" si="26"/>
        <v>0</v>
      </c>
      <c r="N84" s="999">
        <f t="shared" si="26"/>
        <v>0</v>
      </c>
      <c r="Z84" s="1843"/>
      <c r="AA84" s="1893"/>
      <c r="AG84" s="1056"/>
      <c r="AK84" s="1893"/>
    </row>
    <row r="85" spans="1:37" ht="48">
      <c r="A85" s="3068" t="s">
        <v>3267</v>
      </c>
      <c r="B85" s="1260">
        <f>估价对象房地状况!G17</f>
        <v>0</v>
      </c>
      <c r="C85" s="1885"/>
      <c r="D85" s="1000">
        <f t="shared" si="22"/>
        <v>0</v>
      </c>
      <c r="E85" s="703"/>
      <c r="F85" s="1673"/>
      <c r="G85" s="998"/>
      <c r="H85" s="1001" t="str">
        <f t="shared" si="23"/>
        <v>——</v>
      </c>
      <c r="I85" s="3066">
        <v>0.1</v>
      </c>
      <c r="J85" s="999">
        <f t="shared" si="24"/>
        <v>0</v>
      </c>
      <c r="K85" s="999">
        <f t="shared" si="25"/>
        <v>0</v>
      </c>
      <c r="L85" s="999">
        <v>0</v>
      </c>
      <c r="M85" s="999">
        <f t="shared" si="26"/>
        <v>0</v>
      </c>
      <c r="N85" s="999">
        <f t="shared" si="26"/>
        <v>0</v>
      </c>
      <c r="Z85" s="1843"/>
      <c r="AA85" s="1893"/>
      <c r="AG85" s="1056"/>
      <c r="AK85" s="1893"/>
    </row>
    <row r="86" spans="1:37" ht="13.8">
      <c r="A86" s="1968" t="s">
        <v>2065</v>
      </c>
      <c r="B86" s="1260">
        <f>估价对象房地状况!G22</f>
        <v>0</v>
      </c>
      <c r="C86" s="1885"/>
      <c r="D86" s="1000">
        <f t="shared" si="22"/>
        <v>0</v>
      </c>
      <c r="E86" s="703"/>
      <c r="F86" s="1673"/>
      <c r="G86" s="998"/>
      <c r="H86" s="1001" t="str">
        <f t="shared" si="23"/>
        <v>——</v>
      </c>
      <c r="I86" s="3066">
        <v>0.05</v>
      </c>
      <c r="J86" s="999">
        <f t="shared" si="24"/>
        <v>0</v>
      </c>
      <c r="K86" s="999">
        <f t="shared" si="25"/>
        <v>0</v>
      </c>
      <c r="L86" s="999">
        <v>0</v>
      </c>
      <c r="M86" s="999">
        <f t="shared" si="26"/>
        <v>0</v>
      </c>
      <c r="N86" s="999">
        <f t="shared" si="26"/>
        <v>0</v>
      </c>
      <c r="Z86" s="1843"/>
      <c r="AA86" s="1893"/>
      <c r="AG86" s="1056"/>
      <c r="AK86" s="1893"/>
    </row>
    <row r="87" spans="1:37" ht="26.4">
      <c r="A87" s="1968" t="s">
        <v>2057</v>
      </c>
      <c r="B87" s="1238" t="str">
        <f>估价对象房地状况!G19</f>
        <v>估价对象所在区域公共配套设施齐备情况</v>
      </c>
      <c r="C87" s="1885"/>
      <c r="D87" s="1000">
        <f t="shared" si="22"/>
        <v>0</v>
      </c>
      <c r="E87" s="703"/>
      <c r="F87" s="1673"/>
      <c r="G87" s="998"/>
      <c r="H87" s="1001" t="str">
        <f t="shared" si="23"/>
        <v>——</v>
      </c>
      <c r="I87" s="3066">
        <v>0.06</v>
      </c>
      <c r="J87" s="999">
        <f t="shared" si="24"/>
        <v>0</v>
      </c>
      <c r="K87" s="999">
        <f t="shared" si="25"/>
        <v>0</v>
      </c>
      <c r="L87" s="999">
        <v>0</v>
      </c>
      <c r="M87" s="999">
        <f t="shared" si="26"/>
        <v>0</v>
      </c>
      <c r="N87" s="999">
        <f t="shared" si="26"/>
        <v>0</v>
      </c>
    </row>
    <row r="88" spans="1:37" ht="26.4">
      <c r="A88" s="1968" t="s">
        <v>2058</v>
      </c>
      <c r="B88" s="1238" t="str">
        <f>估价对象房地状况!G20</f>
        <v>估价对象所在区域基础设施水平</v>
      </c>
      <c r="C88" s="1885"/>
      <c r="D88" s="1000">
        <f t="shared" si="22"/>
        <v>0</v>
      </c>
      <c r="E88" s="703"/>
      <c r="F88" s="1673"/>
      <c r="G88" s="998"/>
      <c r="H88" s="1001" t="str">
        <f t="shared" si="23"/>
        <v>——</v>
      </c>
      <c r="I88" s="3066">
        <v>0.12</v>
      </c>
      <c r="J88" s="999">
        <f t="shared" si="24"/>
        <v>0</v>
      </c>
      <c r="K88" s="999">
        <f t="shared" si="25"/>
        <v>0</v>
      </c>
      <c r="L88" s="999">
        <v>0</v>
      </c>
      <c r="M88" s="999">
        <f t="shared" si="26"/>
        <v>0</v>
      </c>
      <c r="N88" s="999">
        <f t="shared" si="26"/>
        <v>0</v>
      </c>
    </row>
    <row r="89" spans="1:37" ht="36">
      <c r="A89" s="1968" t="s">
        <v>2055</v>
      </c>
      <c r="B89" s="1973" t="s">
        <v>2069</v>
      </c>
      <c r="C89" s="1885"/>
      <c r="D89" s="1000">
        <f t="shared" si="22"/>
        <v>0</v>
      </c>
      <c r="E89" s="703"/>
      <c r="F89" s="1673"/>
      <c r="G89" s="998"/>
      <c r="H89" s="1001" t="str">
        <f t="shared" si="23"/>
        <v>——</v>
      </c>
      <c r="I89" s="3066">
        <v>0.06</v>
      </c>
      <c r="J89" s="999">
        <f t="shared" si="24"/>
        <v>0</v>
      </c>
      <c r="K89" s="999">
        <f t="shared" si="25"/>
        <v>0</v>
      </c>
      <c r="L89" s="999">
        <v>0</v>
      </c>
      <c r="M89" s="999">
        <f t="shared" si="26"/>
        <v>0</v>
      </c>
      <c r="N89" s="999">
        <f t="shared" si="26"/>
        <v>0</v>
      </c>
    </row>
    <row r="90" spans="1:37" ht="40.200000000000003" thickBot="1">
      <c r="A90" s="1975" t="s">
        <v>2070</v>
      </c>
      <c r="B90" s="1980" t="str">
        <f>估价对象房地状况!G18</f>
        <v>该园区内是否有污染型企业，绿化情况，卫生条件，整体环境状况判断</v>
      </c>
      <c r="C90" s="1885"/>
      <c r="D90" s="1000">
        <f t="shared" si="22"/>
        <v>0</v>
      </c>
      <c r="E90" s="704"/>
      <c r="F90" s="1673"/>
      <c r="G90" s="998"/>
      <c r="H90" s="1001" t="str">
        <f t="shared" si="23"/>
        <v>——</v>
      </c>
      <c r="I90" s="3067">
        <v>0.05</v>
      </c>
      <c r="J90" s="999">
        <f t="shared" si="24"/>
        <v>0</v>
      </c>
      <c r="K90" s="999">
        <f t="shared" si="25"/>
        <v>0</v>
      </c>
      <c r="L90" s="999">
        <v>0</v>
      </c>
      <c r="M90" s="999">
        <f t="shared" si="26"/>
        <v>0</v>
      </c>
      <c r="N90" s="999">
        <f t="shared" si="26"/>
        <v>0</v>
      </c>
    </row>
    <row r="91" spans="1:37" ht="13.8">
      <c r="A91" s="3076" t="s">
        <v>2609</v>
      </c>
      <c r="B91" s="3077">
        <f>1+E93</f>
        <v>1.0402</v>
      </c>
      <c r="C91" s="3070"/>
      <c r="D91" s="3071"/>
      <c r="E91" s="1673"/>
      <c r="F91" s="1673"/>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48" t="s">
        <v>3286</v>
      </c>
      <c r="K92" s="2148" t="s">
        <v>3287</v>
      </c>
      <c r="L92" s="2148" t="s">
        <v>3288</v>
      </c>
      <c r="M92" s="2148" t="s">
        <v>3289</v>
      </c>
      <c r="N92" s="2148" t="s">
        <v>3290</v>
      </c>
    </row>
    <row r="93" spans="1:37" ht="24">
      <c r="A93" s="3068" t="s">
        <v>3269</v>
      </c>
      <c r="B93" s="1219"/>
      <c r="C93" s="1885" t="s">
        <v>3431</v>
      </c>
      <c r="D93" s="2308">
        <f>SUMIF($J$92:$N$92,C93,J93:N93)</f>
        <v>0</v>
      </c>
      <c r="E93" s="3081">
        <f>ROUND(SUM(D93:D101),4)</f>
        <v>4.02E-2</v>
      </c>
      <c r="F93" s="1673">
        <f>IF(E2="公共服务",SUMIF(L1:L12,G2,N1:N12),"——")</f>
        <v>0.15</v>
      </c>
      <c r="G93" s="3072">
        <f>H93</f>
        <v>1.8700000000000001E-2</v>
      </c>
      <c r="H93" s="3117">
        <f>IFERROR(ROUNDDOWN($F$93*I93/2,4),"——")</f>
        <v>1.8700000000000001E-2</v>
      </c>
      <c r="I93" s="3066">
        <v>0.25</v>
      </c>
      <c r="J93" s="1910">
        <f t="shared" ref="J93:J101" si="27">K93+$G93</f>
        <v>3.7400000000000003E-2</v>
      </c>
      <c r="K93" s="1910">
        <f t="shared" ref="K93:K101" si="28">$L93+$G93</f>
        <v>1.8700000000000001E-2</v>
      </c>
      <c r="L93" s="1910">
        <v>0</v>
      </c>
      <c r="M93" s="1910">
        <f t="shared" ref="M93:N101" si="29">L93-$G93</f>
        <v>-1.8700000000000001E-2</v>
      </c>
      <c r="N93" s="1910">
        <f t="shared" si="29"/>
        <v>-3.7400000000000003E-2</v>
      </c>
    </row>
    <row r="94" spans="1:37" ht="52.8">
      <c r="A94" s="3078" t="s">
        <v>3270</v>
      </c>
      <c r="B94" s="3069" t="str">
        <f>估价对象房地状况!C18</f>
        <v>估价对象周边道路状况、公共交通通达情况、停车便捷程度，综合评价交通便捷度较好</v>
      </c>
      <c r="C94" s="1885" t="s">
        <v>3431</v>
      </c>
      <c r="D94" s="2308">
        <f t="shared" ref="D94:D101" si="30">SUMIF($J$60:$N$60,C94,J94:N94)</f>
        <v>0</v>
      </c>
      <c r="E94" s="3082"/>
      <c r="F94" s="1673"/>
      <c r="G94" s="3072">
        <f t="shared" ref="G94:G101" si="31">H94</f>
        <v>1.95E-2</v>
      </c>
      <c r="H94" s="3117">
        <f>IFERROR(ROUNDDOWN($F$93*I94/2,4),"——")</f>
        <v>1.95E-2</v>
      </c>
      <c r="I94" s="3066">
        <v>0.26</v>
      </c>
      <c r="J94" s="1910">
        <f t="shared" si="27"/>
        <v>3.9E-2</v>
      </c>
      <c r="K94" s="1910">
        <f t="shared" si="28"/>
        <v>1.95E-2</v>
      </c>
      <c r="L94" s="1910">
        <v>0</v>
      </c>
      <c r="M94" s="1910">
        <f t="shared" si="29"/>
        <v>-1.95E-2</v>
      </c>
      <c r="N94" s="1910">
        <f t="shared" si="29"/>
        <v>-3.9E-2</v>
      </c>
    </row>
    <row r="95" spans="1:37" ht="48">
      <c r="A95" s="3068" t="s">
        <v>3266</v>
      </c>
      <c r="B95" s="3069">
        <f>估价对象房地状况!C19</f>
        <v>0</v>
      </c>
      <c r="C95" s="1885" t="s">
        <v>3432</v>
      </c>
      <c r="D95" s="2308">
        <f t="shared" si="30"/>
        <v>8.2000000000000007E-3</v>
      </c>
      <c r="E95" s="3082"/>
      <c r="F95" s="1673"/>
      <c r="G95" s="3072">
        <f t="shared" si="31"/>
        <v>8.2000000000000007E-3</v>
      </c>
      <c r="H95" s="3117">
        <f t="shared" ref="H95:H101" si="32">IFERROR(ROUNDDOWN($F$93*I95/2,4),"——")</f>
        <v>8.2000000000000007E-3</v>
      </c>
      <c r="I95" s="3066">
        <v>0.11</v>
      </c>
      <c r="J95" s="1910">
        <f t="shared" si="27"/>
        <v>1.6400000000000001E-2</v>
      </c>
      <c r="K95" s="1910">
        <f t="shared" si="28"/>
        <v>8.2000000000000007E-3</v>
      </c>
      <c r="L95" s="1910">
        <v>0</v>
      </c>
      <c r="M95" s="1910">
        <f t="shared" si="29"/>
        <v>-8.2000000000000007E-3</v>
      </c>
      <c r="N95" s="1910">
        <f t="shared" si="29"/>
        <v>-1.6400000000000001E-2</v>
      </c>
    </row>
    <row r="96" spans="1:37" ht="37.200000000000003">
      <c r="A96" s="3078" t="s">
        <v>3271</v>
      </c>
      <c r="B96" s="3084" t="s">
        <v>3282</v>
      </c>
      <c r="C96" s="1885" t="s">
        <v>3432</v>
      </c>
      <c r="D96" s="2308">
        <f t="shared" si="30"/>
        <v>3.7000000000000002E-3</v>
      </c>
      <c r="E96" s="3082"/>
      <c r="F96" s="1673"/>
      <c r="G96" s="3072">
        <f t="shared" si="31"/>
        <v>3.7000000000000002E-3</v>
      </c>
      <c r="H96" s="3117">
        <f t="shared" si="32"/>
        <v>3.7000000000000002E-3</v>
      </c>
      <c r="I96" s="3066">
        <v>0.05</v>
      </c>
      <c r="J96" s="1910">
        <f t="shared" si="27"/>
        <v>7.4000000000000003E-3</v>
      </c>
      <c r="K96" s="1910">
        <f t="shared" si="28"/>
        <v>3.7000000000000002E-3</v>
      </c>
      <c r="L96" s="1910">
        <v>0</v>
      </c>
      <c r="M96" s="1910">
        <f t="shared" si="29"/>
        <v>-3.7000000000000002E-3</v>
      </c>
      <c r="N96" s="1910">
        <f t="shared" si="29"/>
        <v>-7.4000000000000003E-3</v>
      </c>
    </row>
    <row r="97" spans="1:14" ht="24">
      <c r="A97" s="3078" t="s">
        <v>3272</v>
      </c>
      <c r="B97" s="3069">
        <f>估价对象房地状况!C24</f>
        <v>0</v>
      </c>
      <c r="C97" s="1885" t="s">
        <v>3431</v>
      </c>
      <c r="D97" s="2308">
        <f t="shared" si="30"/>
        <v>0</v>
      </c>
      <c r="E97" s="3082"/>
      <c r="F97" s="1673"/>
      <c r="G97" s="3072">
        <f t="shared" si="31"/>
        <v>3.7000000000000002E-3</v>
      </c>
      <c r="H97" s="3117">
        <f t="shared" si="32"/>
        <v>3.7000000000000002E-3</v>
      </c>
      <c r="I97" s="3066">
        <v>0.05</v>
      </c>
      <c r="J97" s="1910">
        <f t="shared" si="27"/>
        <v>7.4000000000000003E-3</v>
      </c>
      <c r="K97" s="1910">
        <f t="shared" si="28"/>
        <v>3.7000000000000002E-3</v>
      </c>
      <c r="L97" s="1910">
        <v>0</v>
      </c>
      <c r="M97" s="1910">
        <f t="shared" si="29"/>
        <v>-3.7000000000000002E-3</v>
      </c>
      <c r="N97" s="1910">
        <f t="shared" si="29"/>
        <v>-7.4000000000000003E-3</v>
      </c>
    </row>
    <row r="98" spans="1:14" ht="36">
      <c r="A98" s="3078" t="s">
        <v>3273</v>
      </c>
      <c r="B98" s="3085" t="s">
        <v>3283</v>
      </c>
      <c r="C98" s="1885" t="s">
        <v>3432</v>
      </c>
      <c r="D98" s="2308">
        <f t="shared" si="30"/>
        <v>4.4999999999999997E-3</v>
      </c>
      <c r="E98" s="3082"/>
      <c r="F98" s="1673"/>
      <c r="G98" s="3072">
        <f t="shared" si="31"/>
        <v>4.4999999999999997E-3</v>
      </c>
      <c r="H98" s="3117">
        <f t="shared" si="32"/>
        <v>4.4999999999999997E-3</v>
      </c>
      <c r="I98" s="3066">
        <v>0.06</v>
      </c>
      <c r="J98" s="1910">
        <f t="shared" si="27"/>
        <v>8.9999999999999993E-3</v>
      </c>
      <c r="K98" s="1910">
        <f t="shared" si="28"/>
        <v>4.4999999999999997E-3</v>
      </c>
      <c r="L98" s="1910">
        <v>0</v>
      </c>
      <c r="M98" s="1910">
        <f t="shared" si="29"/>
        <v>-4.4999999999999997E-3</v>
      </c>
      <c r="N98" s="1910">
        <f t="shared" si="29"/>
        <v>-8.9999999999999993E-3</v>
      </c>
    </row>
    <row r="99" spans="1:14" ht="26.4">
      <c r="A99" s="3078" t="s">
        <v>3274</v>
      </c>
      <c r="B99" s="3069" t="str">
        <f>估价对象房地状况!C21</f>
        <v>估价对象所在区域公共配套设施齐备情况</v>
      </c>
      <c r="C99" s="1885" t="s">
        <v>3431</v>
      </c>
      <c r="D99" s="2308">
        <f t="shared" si="30"/>
        <v>0</v>
      </c>
      <c r="E99" s="3082"/>
      <c r="F99" s="1673"/>
      <c r="G99" s="3072">
        <f t="shared" si="31"/>
        <v>4.4999999999999997E-3</v>
      </c>
      <c r="H99" s="3117">
        <f t="shared" si="32"/>
        <v>4.4999999999999997E-3</v>
      </c>
      <c r="I99" s="3066">
        <v>0.06</v>
      </c>
      <c r="J99" s="1910">
        <f t="shared" si="27"/>
        <v>8.9999999999999993E-3</v>
      </c>
      <c r="K99" s="1910">
        <f t="shared" si="28"/>
        <v>4.4999999999999997E-3</v>
      </c>
      <c r="L99" s="1910">
        <v>0</v>
      </c>
      <c r="M99" s="1910">
        <f t="shared" si="29"/>
        <v>-4.4999999999999997E-3</v>
      </c>
      <c r="N99" s="1910">
        <f t="shared" si="29"/>
        <v>-8.9999999999999993E-3</v>
      </c>
    </row>
    <row r="100" spans="1:14" ht="26.4">
      <c r="A100" s="3078" t="s">
        <v>3275</v>
      </c>
      <c r="B100" s="3069" t="str">
        <f>估价对象房地状况!C22</f>
        <v>估价对象所在区域基础设施水平</v>
      </c>
      <c r="C100" s="1885" t="s">
        <v>3433</v>
      </c>
      <c r="D100" s="2308">
        <f t="shared" si="30"/>
        <v>1.34E-2</v>
      </c>
      <c r="E100" s="3082"/>
      <c r="F100" s="1673"/>
      <c r="G100" s="3072">
        <f t="shared" si="31"/>
        <v>6.7000000000000002E-3</v>
      </c>
      <c r="H100" s="3117">
        <f t="shared" si="32"/>
        <v>6.7000000000000002E-3</v>
      </c>
      <c r="I100" s="3066">
        <v>0.09</v>
      </c>
      <c r="J100" s="1910">
        <f t="shared" si="27"/>
        <v>1.34E-2</v>
      </c>
      <c r="K100" s="1910">
        <f t="shared" si="28"/>
        <v>6.7000000000000002E-3</v>
      </c>
      <c r="L100" s="1910">
        <v>0</v>
      </c>
      <c r="M100" s="1910">
        <f t="shared" si="29"/>
        <v>-6.7000000000000002E-3</v>
      </c>
      <c r="N100" s="1910">
        <f t="shared" si="29"/>
        <v>-1.34E-2</v>
      </c>
    </row>
    <row r="101" spans="1:14" ht="40.200000000000003" thickBot="1">
      <c r="A101" s="3079" t="s">
        <v>3276</v>
      </c>
      <c r="B101" s="3086" t="str">
        <f>估价对象房地状况!C20</f>
        <v>区域自然环境：；人文环境；综合评价环境状况一般</v>
      </c>
      <c r="C101" s="1885" t="s">
        <v>3433</v>
      </c>
      <c r="D101" s="2308">
        <f t="shared" si="30"/>
        <v>1.04E-2</v>
      </c>
      <c r="E101" s="3083"/>
      <c r="F101" s="1673"/>
      <c r="G101" s="3072">
        <f t="shared" si="31"/>
        <v>5.1999999999999998E-3</v>
      </c>
      <c r="H101" s="3117">
        <f t="shared" si="32"/>
        <v>5.1999999999999998E-3</v>
      </c>
      <c r="I101" s="3067">
        <v>7.0000000000000007E-2</v>
      </c>
      <c r="J101" s="1910">
        <f t="shared" si="27"/>
        <v>1.04E-2</v>
      </c>
      <c r="K101" s="1910">
        <f t="shared" si="28"/>
        <v>5.1999999999999998E-3</v>
      </c>
      <c r="L101" s="1910">
        <v>0</v>
      </c>
      <c r="M101" s="1910">
        <f t="shared" si="29"/>
        <v>-5.1999999999999998E-3</v>
      </c>
      <c r="N101" s="1910">
        <f t="shared" si="29"/>
        <v>-1.04E-2</v>
      </c>
    </row>
    <row r="103" spans="1:14">
      <c r="A103" s="3454" t="s">
        <v>3291</v>
      </c>
      <c r="B103" s="3454"/>
      <c r="C103" s="3454"/>
      <c r="D103" s="3454"/>
      <c r="E103" s="3454"/>
      <c r="F103" s="3454"/>
      <c r="G103" s="3454"/>
      <c r="H103" s="3454"/>
      <c r="I103" s="3454"/>
      <c r="J103" s="3454"/>
      <c r="K103" s="1665"/>
      <c r="L103" s="1665"/>
      <c r="M103" s="1665"/>
      <c r="N103" s="1665"/>
    </row>
    <row r="104" spans="1:14">
      <c r="A104" s="3455" t="s">
        <v>3292</v>
      </c>
      <c r="B104" s="3455" t="s">
        <v>3293</v>
      </c>
      <c r="C104" s="3088" t="s">
        <v>3294</v>
      </c>
      <c r="D104" s="3089"/>
      <c r="E104" s="3089"/>
      <c r="F104" s="3089"/>
      <c r="G104" s="3089"/>
      <c r="H104" s="3089"/>
      <c r="I104" s="3089"/>
      <c r="J104" s="3090"/>
      <c r="K104" s="3091"/>
      <c r="L104" s="3091"/>
      <c r="M104" s="3091"/>
      <c r="N104" s="3091"/>
    </row>
    <row r="105" spans="1:14">
      <c r="A105" s="3455"/>
      <c r="B105" s="3455"/>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41"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2"/>
      <c r="B111" s="3092" t="s">
        <v>3265</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443"/>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444" t="s">
        <v>3308</v>
      </c>
      <c r="B113" s="3444"/>
      <c r="C113" s="3444"/>
      <c r="D113" s="3444"/>
      <c r="E113" s="3444"/>
      <c r="F113" s="3444"/>
      <c r="G113" s="3444"/>
      <c r="H113" s="3444"/>
      <c r="I113" s="3444"/>
      <c r="J113" s="3444"/>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8" thickBot="1">
      <c r="A115" s="3095"/>
      <c r="B115" s="3095"/>
      <c r="C115" s="3095"/>
      <c r="D115" s="3095"/>
      <c r="E115" s="3095"/>
      <c r="F115" s="3095"/>
      <c r="G115" s="3095"/>
      <c r="H115" s="3095"/>
      <c r="I115" s="3095"/>
      <c r="J115" s="3095"/>
      <c r="K115" s="1962"/>
      <c r="L115" s="3095"/>
      <c r="M115" s="3095"/>
      <c r="N115" s="3095"/>
    </row>
    <row r="116" spans="1:14" ht="25.8" thickBot="1">
      <c r="A116" s="3096" t="s">
        <v>3309</v>
      </c>
      <c r="B116" s="3112">
        <f>G3</f>
        <v>1.74</v>
      </c>
      <c r="C116" s="3097" t="s">
        <v>3310</v>
      </c>
      <c r="D116" s="3098">
        <f>SUMPRODUCT((A118:A122=F116)*(B117:M117=H116)*B118:M122)</f>
        <v>0.73429999999999995</v>
      </c>
      <c r="E116" s="162" t="s">
        <v>3311</v>
      </c>
      <c r="F116" s="3099" t="str">
        <f>E2</f>
        <v>公共服务</v>
      </c>
      <c r="G116" s="162" t="s">
        <v>3312</v>
      </c>
      <c r="H116" s="3099" t="str">
        <f>G2</f>
        <v>九级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0.97770000000000001</v>
      </c>
      <c r="C118" s="3087">
        <f>B118</f>
        <v>0.97770000000000001</v>
      </c>
      <c r="D118" s="3087">
        <f>ROUND(0.949-0.014*B116,4)</f>
        <v>0.92459999999999998</v>
      </c>
      <c r="E118" s="3087">
        <f>D118</f>
        <v>0.92459999999999998</v>
      </c>
      <c r="F118" s="3087">
        <f>E118</f>
        <v>0.92459999999999998</v>
      </c>
      <c r="G118" s="3087">
        <f>F118</f>
        <v>0.92459999999999998</v>
      </c>
      <c r="H118" s="3087">
        <f>G118</f>
        <v>0.92459999999999998</v>
      </c>
      <c r="I118" s="3087">
        <f>ROUND(0.8486-0.018*B116,4)</f>
        <v>0.81730000000000003</v>
      </c>
      <c r="J118" s="3087">
        <f t="shared" ref="J118:M122" si="36">I118</f>
        <v>0.81730000000000003</v>
      </c>
      <c r="K118" s="3087">
        <f t="shared" si="36"/>
        <v>0.81730000000000003</v>
      </c>
      <c r="L118" s="3087">
        <f t="shared" si="36"/>
        <v>0.81730000000000003</v>
      </c>
      <c r="M118" s="3107">
        <f t="shared" si="36"/>
        <v>0.81730000000000003</v>
      </c>
      <c r="N118" s="3095"/>
    </row>
    <row r="119" spans="1:14">
      <c r="A119" s="3055" t="s">
        <v>3326</v>
      </c>
      <c r="B119" s="3087">
        <f>ROUND(0.993-0.0112*B116,4)</f>
        <v>0.97350000000000003</v>
      </c>
      <c r="C119" s="3087">
        <f>B119</f>
        <v>0.97350000000000003</v>
      </c>
      <c r="D119" s="3087">
        <f>ROUND(0.9415-0.0142*B116,4)</f>
        <v>0.91679999999999995</v>
      </c>
      <c r="E119" s="3087">
        <f t="shared" ref="E119:H120" si="37">D119</f>
        <v>0.91679999999999995</v>
      </c>
      <c r="F119" s="3087">
        <f t="shared" si="37"/>
        <v>0.91679999999999995</v>
      </c>
      <c r="G119" s="3087">
        <f t="shared" si="37"/>
        <v>0.91679999999999995</v>
      </c>
      <c r="H119" s="3087">
        <f t="shared" si="37"/>
        <v>0.91679999999999995</v>
      </c>
      <c r="I119" s="3087">
        <f>ROUND(0.838-0.0182*B116,4)</f>
        <v>0.80630000000000002</v>
      </c>
      <c r="J119" s="3087">
        <f t="shared" si="36"/>
        <v>0.80630000000000002</v>
      </c>
      <c r="K119" s="3087">
        <f t="shared" si="36"/>
        <v>0.80630000000000002</v>
      </c>
      <c r="L119" s="3087">
        <f t="shared" si="36"/>
        <v>0.80630000000000002</v>
      </c>
      <c r="M119" s="3107">
        <f t="shared" si="36"/>
        <v>0.80630000000000002</v>
      </c>
      <c r="N119" s="3095"/>
    </row>
    <row r="120" spans="1:14">
      <c r="A120" s="3055" t="s">
        <v>3327</v>
      </c>
      <c r="B120" s="3087">
        <f>ROUND(0.9448-0.0115*B116,4)</f>
        <v>0.92479999999999996</v>
      </c>
      <c r="C120" s="3087">
        <f>B120</f>
        <v>0.92479999999999996</v>
      </c>
      <c r="D120" s="3087">
        <f>ROUND(0.937-0.0145*B116,4)</f>
        <v>0.91180000000000005</v>
      </c>
      <c r="E120" s="3087">
        <f t="shared" si="37"/>
        <v>0.91180000000000005</v>
      </c>
      <c r="F120" s="3087">
        <f t="shared" si="37"/>
        <v>0.91180000000000005</v>
      </c>
      <c r="G120" s="3087">
        <f t="shared" si="37"/>
        <v>0.91180000000000005</v>
      </c>
      <c r="H120" s="3087">
        <f t="shared" si="37"/>
        <v>0.91180000000000005</v>
      </c>
      <c r="I120" s="3087">
        <f>ROUND(0.7965-0.0185*B116,4)</f>
        <v>0.76429999999999998</v>
      </c>
      <c r="J120" s="3087">
        <f t="shared" si="36"/>
        <v>0.76429999999999998</v>
      </c>
      <c r="K120" s="3087">
        <f t="shared" si="36"/>
        <v>0.76429999999999998</v>
      </c>
      <c r="L120" s="3087">
        <f t="shared" si="36"/>
        <v>0.76429999999999998</v>
      </c>
      <c r="M120" s="3107">
        <f t="shared" si="36"/>
        <v>0.76429999999999998</v>
      </c>
      <c r="N120" s="3095"/>
    </row>
    <row r="121" spans="1:14" ht="13.8" thickBot="1">
      <c r="A121" s="3108" t="s">
        <v>3328</v>
      </c>
      <c r="B121" s="3109">
        <f>ROUND(0.7836-0.012*B116,4)</f>
        <v>0.76270000000000004</v>
      </c>
      <c r="C121" s="3109">
        <f>B121</f>
        <v>0.76270000000000004</v>
      </c>
      <c r="D121" s="3109">
        <f>ROUND(0.753-0.015*B116,4)</f>
        <v>0.72689999999999999</v>
      </c>
      <c r="E121" s="3109">
        <f>D121</f>
        <v>0.72689999999999999</v>
      </c>
      <c r="F121" s="3109">
        <f>E121</f>
        <v>0.72689999999999999</v>
      </c>
      <c r="G121" s="3109">
        <f>ROUND(0.6612-0.018*B116,4)</f>
        <v>0.62990000000000002</v>
      </c>
      <c r="H121" s="3109">
        <f>G121</f>
        <v>0.62990000000000002</v>
      </c>
      <c r="I121" s="3109">
        <f>ROUND(0.5905-0.019*B116,4)</f>
        <v>0.55740000000000001</v>
      </c>
      <c r="J121" s="3109">
        <f t="shared" si="36"/>
        <v>0.55740000000000001</v>
      </c>
      <c r="K121" s="3109">
        <f t="shared" si="36"/>
        <v>0.55740000000000001</v>
      </c>
      <c r="L121" s="3109">
        <f t="shared" si="36"/>
        <v>0.55740000000000001</v>
      </c>
      <c r="M121" s="3110">
        <f t="shared" si="36"/>
        <v>0.55740000000000001</v>
      </c>
      <c r="N121" s="3095"/>
    </row>
    <row r="122" spans="1:14">
      <c r="A122" s="3111" t="s">
        <v>2609</v>
      </c>
      <c r="B122" s="3087">
        <f>ROUND(0.9404-0.0106*B116,4)</f>
        <v>0.92200000000000004</v>
      </c>
      <c r="C122" s="3087">
        <f>B122</f>
        <v>0.92200000000000004</v>
      </c>
      <c r="D122" s="3087">
        <f>ROUND(0.8955-0.0135*B116,4)</f>
        <v>0.872</v>
      </c>
      <c r="E122" s="3087">
        <f t="shared" ref="E122:H122" si="38">D122</f>
        <v>0.872</v>
      </c>
      <c r="F122" s="3087">
        <f t="shared" si="38"/>
        <v>0.872</v>
      </c>
      <c r="G122" s="3087">
        <f t="shared" si="38"/>
        <v>0.872</v>
      </c>
      <c r="H122" s="3087">
        <f t="shared" si="38"/>
        <v>0.872</v>
      </c>
      <c r="I122" s="3087">
        <f>ROUND(0.7632-0.0166*B116,4)</f>
        <v>0.73429999999999995</v>
      </c>
      <c r="J122" s="3087">
        <f t="shared" si="36"/>
        <v>0.73429999999999995</v>
      </c>
      <c r="K122" s="3087">
        <f t="shared" si="36"/>
        <v>0.73429999999999995</v>
      </c>
      <c r="L122" s="3087">
        <f t="shared" si="36"/>
        <v>0.73429999999999995</v>
      </c>
      <c r="M122" s="3107">
        <f t="shared" si="36"/>
        <v>0.73429999999999995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0" priority="6" stopIfTrue="1" operator="notEqual">
      <formula>"——"</formula>
    </cfRule>
  </conditionalFormatting>
  <conditionalFormatting sqref="F61">
    <cfRule type="cellIs" dxfId="109" priority="5" stopIfTrue="1" operator="notEqual">
      <formula>"——"</formula>
    </cfRule>
  </conditionalFormatting>
  <conditionalFormatting sqref="F72">
    <cfRule type="cellIs" dxfId="108" priority="4" stopIfTrue="1" operator="notEqual">
      <formula>"——"</formula>
    </cfRule>
  </conditionalFormatting>
  <conditionalFormatting sqref="F83">
    <cfRule type="cellIs" dxfId="107" priority="3" stopIfTrue="1" operator="notEqual">
      <formula>"——"</formula>
    </cfRule>
  </conditionalFormatting>
  <conditionalFormatting sqref="H50:H58 H61:H69 H72:H80 H83:H91">
    <cfRule type="cellIs" dxfId="106" priority="2" operator="notEqual">
      <formula>"——"</formula>
    </cfRule>
  </conditionalFormatting>
  <conditionalFormatting sqref="H93:H101">
    <cfRule type="cellIs" dxfId="105" priority="1" operator="notEqual">
      <formula>"——"</formula>
    </cfRule>
  </conditionalFormatting>
  <dataValidations count="12">
    <dataValidation type="list" allowBlank="1" showInputMessage="1" showErrorMessage="1" sqref="E15" xr:uid="{00000000-0002-0000-1B00-000000000000}">
      <formula1>"500米范围内,500-1000米,1000米以外"</formula1>
    </dataValidation>
    <dataValidation type="list" allowBlank="1" showInputMessage="1" showErrorMessage="1" sqref="C15:D15" xr:uid="{00000000-0002-0000-1B00-000001000000}">
      <formula1>"有,无"</formula1>
    </dataValidation>
    <dataValidation type="list" allowBlank="1" showInputMessage="1" showErrorMessage="1" sqref="B25" xr:uid="{00000000-0002-0000-1B00-000002000000}">
      <formula1>"容积率修正,楼层修正"</formula1>
    </dataValidation>
    <dataValidation type="list" allowBlank="1" showInputMessage="1" showErrorMessage="1" sqref="F21" xr:uid="{00000000-0002-0000-1B00-000003000000}">
      <formula1>"与级别开发程度一致,与级别开发程度不一致"</formula1>
    </dataValidation>
    <dataValidation type="list" allowBlank="1" showInputMessage="1" showErrorMessage="1" sqref="E2" xr:uid="{00000000-0002-0000-1B00-000004000000}">
      <formula1>"商业,办公,住宅,工业,公共服务"</formula1>
    </dataValidation>
    <dataValidation type="list" allowBlank="1" showInputMessage="1" showErrorMessage="1" sqref="F3" xr:uid="{00000000-0002-0000-1B00-000005000000}">
      <formula1>"宗地容积率,估价对象容积率,自定义容积率"</formula1>
    </dataValidation>
    <dataValidation type="list" allowBlank="1" showInputMessage="1" showErrorMessage="1" sqref="C8" xr:uid="{00000000-0002-0000-1B00-000006000000}">
      <formula1>商业街名称</formula1>
    </dataValidation>
    <dataValidation type="list" allowBlank="1" showInputMessage="1" showErrorMessage="1" sqref="E3" xr:uid="{00000000-0002-0000-1B00-000007000000}">
      <formula1>二级分类</formula1>
    </dataValidation>
    <dataValidation type="list" allowBlank="1" showInputMessage="1" showErrorMessage="1" sqref="C61:C69 C72:C80 C50:C58 C83:C91 C93:C101" xr:uid="{00000000-0002-0000-1B00-000008000000}">
      <formula1>五等判定</formula1>
    </dataValidation>
    <dataValidation type="list" allowBlank="1" showInputMessage="1" showErrorMessage="1" sqref="H23" xr:uid="{00000000-0002-0000-1B00-000009000000}">
      <formula1>"地价指数,季度增幅（自定义）,按公示增长率计算"</formula1>
    </dataValidation>
    <dataValidation type="list" allowBlank="1" showInputMessage="1" showErrorMessage="1" sqref="H20:O20" xr:uid="{00000000-0002-0000-1B00-00000A000000}">
      <formula1>七通一平</formula1>
    </dataValidation>
    <dataValidation type="list" allowBlank="1" showInputMessage="1" showErrorMessage="1" sqref="J23" xr:uid="{00000000-0002-0000-1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85" zoomScaleNormal="70" zoomScaleSheetLayoutView="85" workbookViewId="0">
      <selection activeCell="J34" sqref="J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875</v>
      </c>
      <c r="B1" s="661"/>
      <c r="C1" s="1285" t="s">
        <v>3420</v>
      </c>
      <c r="D1" s="1269" t="s">
        <v>43</v>
      </c>
      <c r="E1" s="1270" t="s">
        <v>676</v>
      </c>
      <c r="F1" s="997">
        <f ca="1">J53</f>
        <v>25.6</v>
      </c>
      <c r="G1" s="1284">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802</v>
      </c>
      <c r="B2" s="1292">
        <f ca="1">C40+J29+L46</f>
        <v>37582</v>
      </c>
      <c r="C2" s="1287" t="s">
        <v>803</v>
      </c>
      <c r="D2" s="1287"/>
      <c r="E2" s="1293"/>
      <c r="F2" s="1294"/>
      <c r="G2" s="2476"/>
      <c r="H2" s="2466"/>
      <c r="I2" s="2466"/>
      <c r="J2" s="2466"/>
      <c r="K2" s="2467"/>
      <c r="L2" s="2466"/>
      <c r="M2" s="2466"/>
    </row>
    <row r="3" spans="1:37" ht="18" customHeight="1" thickBot="1">
      <c r="A3" s="1295" t="s">
        <v>804</v>
      </c>
      <c r="B3" s="1296">
        <f ca="1">IF(ISERROR(B2*10000/F43),0,ROUND(B2*10000/F43,0))</f>
        <v>14859</v>
      </c>
      <c r="C3" s="1287" t="s">
        <v>805</v>
      </c>
      <c r="D3" s="1287"/>
      <c r="E3" s="1293"/>
      <c r="F3" s="1294"/>
      <c r="G3" s="2476"/>
      <c r="H3" s="647"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f ca="1">C6+C10+C12</f>
        <v>2579</v>
      </c>
      <c r="D5" s="1271" t="s">
        <v>691</v>
      </c>
      <c r="E5" s="1006"/>
      <c r="F5" s="1007"/>
      <c r="G5" s="1290"/>
      <c r="H5" s="291">
        <v>1</v>
      </c>
      <c r="I5" s="292" t="s">
        <v>690</v>
      </c>
      <c r="J5" s="1005">
        <f ca="1">J6+J10+J12</f>
        <v>0</v>
      </c>
      <c r="K5" s="1271" t="s">
        <v>691</v>
      </c>
      <c r="L5" s="1006"/>
      <c r="M5" s="1007"/>
    </row>
    <row r="6" spans="1:37" ht="18" customHeight="1">
      <c r="A6" s="1004" t="s">
        <v>398</v>
      </c>
      <c r="B6" s="3413" t="s">
        <v>692</v>
      </c>
      <c r="C6" s="1009">
        <f ca="1">ROUND(F6*F8*F7*(1-F9)/10000,0)</f>
        <v>2576</v>
      </c>
      <c r="D6" s="147" t="s">
        <v>2106</v>
      </c>
      <c r="E6" s="294" t="s">
        <v>694</v>
      </c>
      <c r="F6" s="295">
        <f ca="1">INDIRECT("'数据-取费表'!u"&amp;$G$1)</f>
        <v>3.1</v>
      </c>
      <c r="G6" s="1290"/>
      <c r="H6" s="1004" t="s">
        <v>398</v>
      </c>
      <c r="I6" s="3413" t="s">
        <v>692</v>
      </c>
      <c r="J6" s="293">
        <f ca="1">ROUND(M6*M8*M7*(1-M9)/10000,0)</f>
        <v>0</v>
      </c>
      <c r="K6" s="147" t="s">
        <v>2105</v>
      </c>
      <c r="L6" s="294" t="s">
        <v>694</v>
      </c>
      <c r="M6" s="295">
        <f ca="1">INDIRECT("'数据-取费表'!z"&amp;$G$1)</f>
        <v>0</v>
      </c>
    </row>
    <row r="7" spans="1:37" ht="18" customHeight="1">
      <c r="A7" s="1008"/>
      <c r="B7" s="3414"/>
      <c r="C7" s="1010"/>
      <c r="D7" s="299"/>
      <c r="E7" s="1011" t="s">
        <v>695</v>
      </c>
      <c r="F7" s="295">
        <f ca="1">IF(INDIRECT("'数据-取费表'!ah"&amp;$G$1)="",INDIRECT("'数据-取费表'!k"&amp;$G$1),INDIRECT("'数据-取费表'!ah"&amp;$G$1))</f>
        <v>25292.940000000002</v>
      </c>
      <c r="G7" s="1290"/>
      <c r="H7" s="296"/>
      <c r="I7" s="3414"/>
      <c r="J7" s="298"/>
      <c r="K7" s="299"/>
      <c r="L7" s="294" t="s">
        <v>695</v>
      </c>
      <c r="M7" s="295">
        <f ca="1">F7</f>
        <v>25292.940000000002</v>
      </c>
    </row>
    <row r="8" spans="1:37" ht="18" customHeight="1">
      <c r="A8" s="296"/>
      <c r="B8" s="3414"/>
      <c r="C8" s="298"/>
      <c r="D8" s="299"/>
      <c r="E8" s="294" t="s">
        <v>696</v>
      </c>
      <c r="F8" s="295">
        <f ca="1">INDIRECT("'数据-取费表'!ai"&amp;$G$1)</f>
        <v>365</v>
      </c>
      <c r="G8" s="1290"/>
      <c r="H8" s="296"/>
      <c r="I8" s="3414"/>
      <c r="J8" s="298"/>
      <c r="K8" s="299"/>
      <c r="L8" s="294" t="s">
        <v>696</v>
      </c>
      <c r="M8" s="295">
        <f ca="1">INDIRECT("'数据-取费表'!ai"&amp;$G$1)</f>
        <v>365</v>
      </c>
    </row>
    <row r="9" spans="1:37" ht="18" customHeight="1">
      <c r="A9" s="296"/>
      <c r="B9" s="3415"/>
      <c r="C9" s="298"/>
      <c r="D9" s="299"/>
      <c r="E9" s="294" t="s">
        <v>697</v>
      </c>
      <c r="F9" s="304">
        <f ca="1">INDIRECT("'数据-取费表'!w"&amp;$G$1)</f>
        <v>0.1</v>
      </c>
      <c r="G9" s="1290"/>
      <c r="H9" s="296"/>
      <c r="I9" s="3415"/>
      <c r="J9" s="298"/>
      <c r="K9" s="299"/>
      <c r="L9" s="305" t="s">
        <v>697</v>
      </c>
      <c r="M9" s="306">
        <f ca="1">INDIRECT("'数据-取费表'!ab"&amp;$G$1)</f>
        <v>0</v>
      </c>
    </row>
    <row r="10" spans="1:37" ht="18" customHeight="1">
      <c r="A10" s="1004" t="s">
        <v>402</v>
      </c>
      <c r="B10" s="1272" t="s">
        <v>698</v>
      </c>
      <c r="C10" s="308">
        <f ca="1">ROUND(IF(F10="押一",C6/12*F11,IF(F10="押二",C6/12*2*F11,IF(F10="押三",C6/12*3*F11,C11*F11))),0)</f>
        <v>3</v>
      </c>
      <c r="D10" s="150" t="s">
        <v>2113</v>
      </c>
      <c r="E10" s="305" t="s">
        <v>699</v>
      </c>
      <c r="F10" s="1051" t="s">
        <v>3425</v>
      </c>
      <c r="G10" s="1290"/>
      <c r="H10" s="1004" t="s">
        <v>402</v>
      </c>
      <c r="I10" s="1272" t="s">
        <v>698</v>
      </c>
      <c r="J10" s="293">
        <f ca="1">ROUND(IF(M10="押一",J6/12*M11,IF(M10="押二",J6/12*2*M11,IF(M10="押三",J6/12*3*M11,J11*M11))),0)</f>
        <v>0</v>
      </c>
      <c r="K10" s="150" t="s">
        <v>2113</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17910</v>
      </c>
      <c r="D13" s="1016" t="s">
        <v>703</v>
      </c>
      <c r="E13" s="1016" t="s">
        <v>704</v>
      </c>
      <c r="F13" s="1017">
        <f ca="1">INDIRECT("'数据-取费表'!y"&amp;$G$1)</f>
        <v>0.85</v>
      </c>
      <c r="G13" s="1290"/>
      <c r="H13" s="1014">
        <v>2</v>
      </c>
      <c r="I13" s="1015" t="s">
        <v>702</v>
      </c>
      <c r="J13" s="1003">
        <f ca="1">ROUND(J14*J15,0)</f>
        <v>0</v>
      </c>
      <c r="K13" s="1022" t="s">
        <v>703</v>
      </c>
      <c r="L13" s="1297"/>
      <c r="M13" s="1298"/>
    </row>
    <row r="14" spans="1:37" ht="18" customHeight="1">
      <c r="A14" s="926" t="s">
        <v>397</v>
      </c>
      <c r="B14" s="294" t="s">
        <v>705</v>
      </c>
      <c r="C14" s="310">
        <f ca="1">INDIRECT("'数据-取费表'!m"&amp;$G$1)+INDIRECT("'数据-取费表'!t"&amp;$G$1)</f>
        <v>15176</v>
      </c>
      <c r="D14" s="1255" t="s">
        <v>706</v>
      </c>
      <c r="E14" s="1253"/>
      <c r="F14" s="311"/>
      <c r="G14" s="1290"/>
      <c r="H14" s="926" t="s">
        <v>398</v>
      </c>
      <c r="I14" s="294" t="s">
        <v>707</v>
      </c>
      <c r="J14" s="21">
        <f ca="1">C29</f>
        <v>21071</v>
      </c>
      <c r="K14" s="12"/>
      <c r="L14" s="757"/>
      <c r="M14" s="758"/>
    </row>
    <row r="15" spans="1:37" s="1302" customFormat="1" ht="18" customHeight="1" thickBot="1">
      <c r="A15" s="926" t="s">
        <v>399</v>
      </c>
      <c r="B15" s="294" t="s">
        <v>708</v>
      </c>
      <c r="C15" s="21">
        <f ca="1">ROUND(C14*F15,0)</f>
        <v>759</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ROUND(INDIRECT("'数据-取费表'!m"&amp;$G$1)*F16,0)</f>
        <v>0</v>
      </c>
      <c r="D16" s="294" t="s">
        <v>709</v>
      </c>
      <c r="E16" s="294" t="s">
        <v>710</v>
      </c>
      <c r="F16" s="314">
        <f ca="1">IF(INDIRECT("'数据-取费表'!c"&amp;$G$1)="住宅",'数据-取费表'!B34,0)</f>
        <v>0</v>
      </c>
      <c r="G16" s="1290"/>
      <c r="H16" s="1014" t="s">
        <v>393</v>
      </c>
      <c r="I16" s="1015" t="s">
        <v>712</v>
      </c>
      <c r="J16" s="302">
        <f ca="1">ROUND(J17+J22+J23+J24,0)</f>
        <v>44</v>
      </c>
      <c r="K16" s="1022" t="s">
        <v>713</v>
      </c>
      <c r="L16" s="1023"/>
      <c r="M16" s="1007"/>
    </row>
    <row r="17" spans="1:37" s="1302" customFormat="1" ht="18" customHeight="1">
      <c r="A17" s="926" t="s">
        <v>679</v>
      </c>
      <c r="B17" s="294" t="s">
        <v>714</v>
      </c>
      <c r="C17" s="21">
        <f ca="1">ROUND(F17*(F43+INDIRECT("'数据-取费表'!S"&amp;$G$1))/10000,0)</f>
        <v>506</v>
      </c>
      <c r="D17" s="294" t="s">
        <v>715</v>
      </c>
      <c r="E17" s="294" t="s">
        <v>716</v>
      </c>
      <c r="F17" s="23">
        <f>'数据-取费表'!B35</f>
        <v>200</v>
      </c>
      <c r="G17" s="1301"/>
      <c r="H17" s="926" t="s">
        <v>398</v>
      </c>
      <c r="I17" s="294" t="s">
        <v>717</v>
      </c>
      <c r="J17" s="2138">
        <f ca="1">ROUND(IF(AND(项目基本情况!B11="自然人",项目基本情况!B10="北京市"),J6*M17/(1+'数据-取费表'!C42),J18+J19+J20),2)</f>
        <v>1.79</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455</v>
      </c>
      <c r="D18" s="294" t="s">
        <v>709</v>
      </c>
      <c r="E18" s="294" t="s">
        <v>710</v>
      </c>
      <c r="F18" s="314">
        <f>'数据-取费表'!B36</f>
        <v>0.03</v>
      </c>
      <c r="G18" s="1301"/>
      <c r="H18" s="926" t="s">
        <v>397</v>
      </c>
      <c r="I18" s="294" t="s">
        <v>721</v>
      </c>
      <c r="J18" s="21">
        <f ca="1">ROUND(J6*M18/(1+'数据-取费表'!C42),2)</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16896</v>
      </c>
      <c r="D19" s="123" t="s">
        <v>724</v>
      </c>
      <c r="E19" s="1267"/>
      <c r="F19" s="23"/>
      <c r="G19" s="1290"/>
      <c r="H19" s="926" t="s">
        <v>399</v>
      </c>
      <c r="I19" s="294" t="s">
        <v>725</v>
      </c>
      <c r="J19" s="21">
        <f ca="1">IF(K19="按租金收入计税",ROUND(J6*M19/(1+'数据-取费表'!C42),2),ROUND(C29*M19*0.7,2))</f>
        <v>0</v>
      </c>
      <c r="K19" s="1276" t="s">
        <v>3333</v>
      </c>
      <c r="L19" s="294" t="s">
        <v>710</v>
      </c>
      <c r="M19" s="314">
        <f>IF(K19="按租金收入计税",'数据-取费表'!B51,'数据-取费表'!B50)</f>
        <v>0.12</v>
      </c>
    </row>
    <row r="20" spans="1:37" s="1302" customFormat="1" ht="18" customHeight="1">
      <c r="A20" s="926" t="s">
        <v>402</v>
      </c>
      <c r="B20" s="294" t="s">
        <v>726</v>
      </c>
      <c r="C20" s="21">
        <f ca="1">ROUND(C19*F20,0)</f>
        <v>338</v>
      </c>
      <c r="D20" s="315" t="s">
        <v>727</v>
      </c>
      <c r="E20" s="294" t="s">
        <v>710</v>
      </c>
      <c r="F20" s="314">
        <f>'数据-取费表'!B37</f>
        <v>0.02</v>
      </c>
      <c r="G20" s="1301"/>
      <c r="H20" s="926" t="s">
        <v>678</v>
      </c>
      <c r="I20" s="147" t="s">
        <v>728</v>
      </c>
      <c r="J20" s="22">
        <f ca="1">ROUND(M20*M21/10000,2)</f>
        <v>1.79</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0.02</v>
      </c>
      <c r="G21" s="1301"/>
      <c r="H21" s="318"/>
      <c r="I21" s="303"/>
      <c r="J21" s="26"/>
      <c r="K21" s="319"/>
      <c r="L21" s="294" t="s">
        <v>734</v>
      </c>
      <c r="M21" s="295">
        <f ca="1">INDIRECT("'数据-取费表'!r"&amp;$G$1)</f>
        <v>11939.52</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ROUND(J14*M22,2)</f>
        <v>42.14</v>
      </c>
      <c r="K22" s="1254" t="s">
        <v>737</v>
      </c>
      <c r="L22" s="294" t="s">
        <v>710</v>
      </c>
      <c r="M22" s="320">
        <f ca="1">INDIRECT("'数据-取费表'!Ak"&amp;$G$1)</f>
        <v>2E-3</v>
      </c>
    </row>
    <row r="23" spans="1:37" s="1302" customFormat="1" ht="18" customHeight="1">
      <c r="A23" s="926" t="s">
        <v>397</v>
      </c>
      <c r="B23" s="294" t="s">
        <v>738</v>
      </c>
      <c r="C23" s="21">
        <f ca="1">IF('数据-取费表'!B22&lt;=1,ROUND(C19*F24*F23/2,0)+ROUND(C20*F24*F23/2,0),ROUND(C19*(POWER((1+F24),F23/2)-1),0)+ROUND(C20*(POWER((1+F24),F23/2)-1),0))</f>
        <v>534</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ROUND(J13*M23,2)</f>
        <v>0</v>
      </c>
      <c r="K23" s="1254" t="s">
        <v>741</v>
      </c>
      <c r="L23" s="294" t="s">
        <v>742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681</v>
      </c>
      <c r="I24" s="1025" t="s">
        <v>726</v>
      </c>
      <c r="J24" s="1026">
        <f ca="1">ROUND(J5*M24,2)</f>
        <v>0</v>
      </c>
      <c r="K24" s="1027" t="s">
        <v>746</v>
      </c>
      <c r="L24" s="1025" t="s">
        <v>742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f ca="1">J5-J16</f>
        <v>-44</v>
      </c>
      <c r="K25" s="1030" t="s">
        <v>751</v>
      </c>
      <c r="L25" s="1031"/>
      <c r="M25" s="1032"/>
    </row>
    <row r="26" spans="1:37">
      <c r="A26" s="926" t="s">
        <v>397</v>
      </c>
      <c r="B26" s="294" t="s">
        <v>752</v>
      </c>
      <c r="C26" s="21">
        <f ca="1">ROUND((C19+C20)*F26,0)</f>
        <v>1723</v>
      </c>
      <c r="D26" s="315" t="s">
        <v>753</v>
      </c>
      <c r="E26" s="305" t="s">
        <v>754</v>
      </c>
      <c r="F26" s="304">
        <f ca="1">INDIRECT("'数据-取费表'!q"&amp;$G$1)</f>
        <v>0.1</v>
      </c>
      <c r="G26" s="1290"/>
      <c r="H26" s="291" t="s">
        <v>395</v>
      </c>
      <c r="I26" s="292" t="s">
        <v>755</v>
      </c>
      <c r="J26" s="293">
        <f ca="1">IF(J5&lt;&gt;0,ROUND(J25*(1-((1+M28)/(1+M26))^M27)/(M26-M28),0),0)</f>
        <v>0</v>
      </c>
      <c r="K26" s="316" t="s">
        <v>756</v>
      </c>
      <c r="L26" s="294" t="s">
        <v>757</v>
      </c>
      <c r="M26" s="304">
        <f ca="1">INDIRECT("'数据-取费表'!I"&amp;$G$1)</f>
        <v>0.05</v>
      </c>
    </row>
    <row r="27" spans="1:37" ht="18" customHeight="1">
      <c r="A27" s="926" t="s">
        <v>399</v>
      </c>
      <c r="B27" s="294" t="s">
        <v>758</v>
      </c>
      <c r="C27" s="21">
        <f ca="1">ROUND(F21*F26,4)</f>
        <v>2E-3</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21071</v>
      </c>
      <c r="D29" s="1027"/>
      <c r="E29" s="1025"/>
      <c r="F29" s="1028"/>
      <c r="G29" s="1301"/>
      <c r="H29" s="325" t="s">
        <v>396</v>
      </c>
      <c r="I29" s="326" t="s">
        <v>766</v>
      </c>
      <c r="J29" s="327">
        <f ca="1">ROUND(J26/(1+F40)^F41,0)</f>
        <v>0</v>
      </c>
      <c r="K29" s="328" t="s">
        <v>767</v>
      </c>
      <c r="L29" s="329"/>
      <c r="M29" s="330">
        <f ca="1">INDIRECT("'数据-取费表'!k"&amp;$G$1)</f>
        <v>25292.940000000002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504</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ROUND(IF(AND(项目基本情况!B11="自然人",项目基本情况!B10="北京市"),C6*F31/(1+'数据-取费表'!C42),C32+C33+C34),2)</f>
        <v>431.12</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IF(项目基本情况!B11="自然人","——",ROUND(C6*F32/(1+'数据-取费表'!C42),2))</f>
        <v>134.93</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IF(项目基本情况!B11="自然人","——",IF(D33="按租金收入计税",ROUND(C6*F33/(1+'数据-取费表'!C42),2),IF(D33="按房产原值计税",ROUND(C29*F33*0.7,2),INDIRECT("'数据-取费表'!Aj"&amp;$G$1))))</f>
        <v>294.39999999999998</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IF(项目基本情况!B11="自然人","——",ROUND(F34*F35/10000,2))</f>
        <v>1.79</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11939.52</v>
      </c>
      <c r="G35" s="1290"/>
      <c r="H35" s="2468"/>
      <c r="I35" s="1303"/>
      <c r="J35" s="1304"/>
      <c r="K35" s="2472"/>
      <c r="L35" s="2471"/>
      <c r="M35" s="2471"/>
    </row>
    <row r="36" spans="1:18" ht="18" customHeight="1">
      <c r="A36" s="1037" t="s">
        <v>402</v>
      </c>
      <c r="B36" s="294" t="s">
        <v>736</v>
      </c>
      <c r="C36" s="21">
        <f ca="1">ROUND(C29*F36,2)</f>
        <v>42.14</v>
      </c>
      <c r="D36" s="1254" t="s">
        <v>769</v>
      </c>
      <c r="E36" s="294" t="s">
        <v>710</v>
      </c>
      <c r="F36" s="320">
        <f ca="1">INDIRECT("'数据-取费表'!Ak"&amp;$G$1)</f>
        <v>2E-3</v>
      </c>
      <c r="G36" s="1290"/>
      <c r="H36" s="2471"/>
      <c r="I36" s="1303"/>
      <c r="J36" s="1304"/>
      <c r="K36" s="2329"/>
      <c r="L36" s="2471"/>
      <c r="M36" s="2471"/>
    </row>
    <row r="37" spans="1:18" ht="18" customHeight="1">
      <c r="A37" s="926" t="s">
        <v>437</v>
      </c>
      <c r="B37" s="294" t="s">
        <v>740</v>
      </c>
      <c r="C37" s="21">
        <f ca="1">ROUND(C13*F37,2)</f>
        <v>17.91</v>
      </c>
      <c r="D37" s="1254" t="s">
        <v>741</v>
      </c>
      <c r="E37" s="294" t="s">
        <v>742</v>
      </c>
      <c r="F37" s="321">
        <f ca="1">INDIRECT("'数据-取费表'!Al"&amp;$G$1)</f>
        <v>1E-3</v>
      </c>
      <c r="G37" s="1290"/>
      <c r="H37" s="2471"/>
      <c r="I37" s="1303"/>
      <c r="J37" s="1304"/>
      <c r="K37" s="2329"/>
      <c r="L37" s="2471"/>
      <c r="M37" s="2471"/>
    </row>
    <row r="38" spans="1:18" ht="18" customHeight="1" thickBot="1">
      <c r="A38" s="1024" t="s">
        <v>681</v>
      </c>
      <c r="B38" s="1025" t="s">
        <v>726</v>
      </c>
      <c r="C38" s="1026">
        <f ca="1">ROUND(C5*F38,2)</f>
        <v>12.9</v>
      </c>
      <c r="D38" s="1027" t="s">
        <v>746</v>
      </c>
      <c r="E38" s="1025" t="s">
        <v>742</v>
      </c>
      <c r="F38" s="1021">
        <f ca="1">INDIRECT("'数据-取费表'!Am"&amp;$G$1)</f>
        <v>5.0000000000000001E-3</v>
      </c>
      <c r="G38" s="1290"/>
      <c r="H38" s="2471"/>
      <c r="I38" s="1303"/>
      <c r="J38" s="1304"/>
      <c r="K38" s="2469"/>
      <c r="L38" s="2471"/>
      <c r="M38" s="2471"/>
    </row>
    <row r="39" spans="1:18" ht="24.6" customHeight="1" thickTop="1">
      <c r="A39" s="1014" t="s">
        <v>394</v>
      </c>
      <c r="B39" s="1029" t="s">
        <v>750</v>
      </c>
      <c r="C39" s="302">
        <f ca="1">C5-C30</f>
        <v>2075</v>
      </c>
      <c r="D39" s="1030" t="s">
        <v>771</v>
      </c>
      <c r="E39" s="1031"/>
      <c r="F39" s="1032"/>
      <c r="G39" s="1290"/>
      <c r="H39" s="2471"/>
      <c r="I39" s="1303"/>
      <c r="J39" s="1304"/>
      <c r="K39" s="2469"/>
      <c r="L39" s="2471"/>
      <c r="M39" s="2471"/>
    </row>
    <row r="40" spans="1:18" ht="18" customHeight="1">
      <c r="A40" s="291" t="s">
        <v>395</v>
      </c>
      <c r="B40" s="292" t="s">
        <v>772</v>
      </c>
      <c r="C40" s="293">
        <f ca="1">ROUND(C39*(1-((1+F42)/(1+F40))^F41)/(F40-F42),0)</f>
        <v>36235</v>
      </c>
      <c r="D40" s="316" t="s">
        <v>756</v>
      </c>
      <c r="E40" s="294" t="s">
        <v>757</v>
      </c>
      <c r="F40" s="304">
        <f ca="1">INDIRECT("'数据-取费表'!I"&amp;$G$1)</f>
        <v>0.05</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25.6</v>
      </c>
      <c r="G41" s="1290"/>
      <c r="H41" s="121"/>
      <c r="I41" s="1303"/>
      <c r="J41" s="1304"/>
      <c r="K41" s="2329"/>
      <c r="L41" s="121"/>
      <c r="M41" s="121"/>
    </row>
    <row r="42" spans="1:18" ht="18" customHeight="1">
      <c r="A42" s="300"/>
      <c r="B42" s="301"/>
      <c r="C42" s="302"/>
      <c r="D42" s="319"/>
      <c r="E42" s="294" t="s">
        <v>764</v>
      </c>
      <c r="F42" s="304">
        <f ca="1">INDIRECT("'数据-取费表'!v"&amp;$G$1)</f>
        <v>0.02</v>
      </c>
      <c r="G42" s="1290"/>
      <c r="H42" s="121"/>
      <c r="I42" s="1303"/>
      <c r="J42" s="1304"/>
      <c r="K42" s="2329"/>
      <c r="L42" s="121"/>
      <c r="M42" s="121"/>
    </row>
    <row r="43" spans="1:18" ht="18" customHeight="1" thickBot="1">
      <c r="A43" s="325" t="s">
        <v>396</v>
      </c>
      <c r="B43" s="326" t="s">
        <v>774</v>
      </c>
      <c r="C43" s="327">
        <f ca="1">ROUND(C40*10000/F43,0)</f>
        <v>14326</v>
      </c>
      <c r="D43" s="328" t="s">
        <v>775</v>
      </c>
      <c r="E43" s="329" t="s">
        <v>776</v>
      </c>
      <c r="F43" s="330">
        <f ca="1">INDIRECT("'数据-取费表'!k"&amp;$G$1)</f>
        <v>25292.940000000002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5" t="s">
        <v>806</v>
      </c>
      <c r="P45" s="1364"/>
      <c r="Q45" s="1364"/>
      <c r="R45" s="1364"/>
    </row>
    <row r="46" spans="1:18" s="1290" customFormat="1" ht="13.8" thickBot="1">
      <c r="A46" s="1309" t="s">
        <v>807</v>
      </c>
      <c r="C46" s="1310">
        <f ca="1">C68-C40</f>
        <v>-37119</v>
      </c>
      <c r="D46" s="1311" t="str">
        <f>C2</f>
        <v>万元</v>
      </c>
      <c r="E46" s="1305"/>
      <c r="F46" s="1305"/>
      <c r="I46" s="1312" t="s">
        <v>808</v>
      </c>
      <c r="J46" s="1313"/>
      <c r="K46" s="1314"/>
      <c r="L46" s="1315">
        <f ca="1">IF(M47="住宅",0,IF(L48&gt;J51,L60,J60))</f>
        <v>1347</v>
      </c>
      <c r="O46" s="1316" t="s">
        <v>809</v>
      </c>
      <c r="P46" s="1317" t="s">
        <v>810</v>
      </c>
      <c r="Q46" s="1318" t="s">
        <v>811</v>
      </c>
      <c r="R46" s="1318" t="s">
        <v>812</v>
      </c>
    </row>
    <row r="47" spans="1:18" s="1290" customFormat="1" ht="13.8" thickBot="1">
      <c r="A47" s="890" t="s">
        <v>685</v>
      </c>
      <c r="B47" s="922" t="s">
        <v>686</v>
      </c>
      <c r="C47" s="1052" t="s">
        <v>687</v>
      </c>
      <c r="D47" s="922" t="s">
        <v>688</v>
      </c>
      <c r="E47" s="993" t="s">
        <v>689</v>
      </c>
      <c r="F47" s="994"/>
      <c r="G47" s="679"/>
      <c r="I47" s="1319" t="s">
        <v>813</v>
      </c>
      <c r="J47" s="1320" t="s">
        <v>3426</v>
      </c>
      <c r="K47" s="1321" t="s">
        <v>814</v>
      </c>
      <c r="L47" s="1322">
        <f ca="1">INDIRECT("'数据-取费表'!d"&amp;$G$1)</f>
        <v>50</v>
      </c>
      <c r="M47" s="1286" t="str">
        <f>IF(ISNUMBER(FIND("住宅",C1)),"住宅","非住宅")</f>
        <v>非住宅</v>
      </c>
      <c r="O47" s="1323" t="s">
        <v>403</v>
      </c>
      <c r="P47" s="1324" t="s">
        <v>815</v>
      </c>
      <c r="Q47" s="1325">
        <f ca="1">C40+J29</f>
        <v>36235</v>
      </c>
      <c r="R47" s="1325" t="s">
        <v>816</v>
      </c>
    </row>
    <row r="48" spans="1:18" s="1290" customFormat="1" ht="40.200000000000003" thickBot="1">
      <c r="A48" s="1045" t="s">
        <v>438</v>
      </c>
      <c r="B48" s="292" t="s">
        <v>690</v>
      </c>
      <c r="C48" s="1266">
        <f ca="1">C49+C53+C55</f>
        <v>0</v>
      </c>
      <c r="D48" s="1047"/>
      <c r="E48" s="1048"/>
      <c r="F48" s="906"/>
      <c r="G48" s="679"/>
      <c r="H48" s="680"/>
      <c r="I48" s="1326" t="s">
        <v>817</v>
      </c>
      <c r="J48" s="1327" t="s">
        <v>3427</v>
      </c>
      <c r="K48" s="1328" t="s">
        <v>818</v>
      </c>
      <c r="L48" s="1329">
        <f ca="1">INDIRECT("'数据-取费表'!f"&amp;$G$1)</f>
        <v>25.6</v>
      </c>
      <c r="O48" s="1323" t="s">
        <v>404</v>
      </c>
      <c r="P48" s="1324" t="s">
        <v>819</v>
      </c>
      <c r="Q48" s="1325">
        <f ca="1">J60</f>
        <v>1347</v>
      </c>
      <c r="R48" s="1325" t="s">
        <v>820</v>
      </c>
    </row>
    <row r="49" spans="1:18" s="1290" customFormat="1" ht="13.8" thickBot="1">
      <c r="A49" s="919" t="s">
        <v>439</v>
      </c>
      <c r="B49" s="1277" t="s">
        <v>777</v>
      </c>
      <c r="C49" s="1049">
        <f ca="1">ROUND(F49*F51*F50*(1-F52)/10000,0)</f>
        <v>0</v>
      </c>
      <c r="D49" s="990" t="s">
        <v>2105</v>
      </c>
      <c r="E49" s="1278" t="s">
        <v>778</v>
      </c>
      <c r="F49" s="995"/>
      <c r="H49" s="680"/>
      <c r="I49" s="1326" t="s">
        <v>821</v>
      </c>
      <c r="J49" s="1330">
        <v>2015</v>
      </c>
      <c r="K49" s="1328" t="s">
        <v>822</v>
      </c>
      <c r="L49" s="1331"/>
      <c r="O49" s="1332" t="s">
        <v>405</v>
      </c>
      <c r="P49" s="1324" t="s">
        <v>823</v>
      </c>
      <c r="Q49" s="1325">
        <f ca="1">C29</f>
        <v>21071</v>
      </c>
      <c r="R49" s="1325" t="s">
        <v>816</v>
      </c>
    </row>
    <row r="50" spans="1:18" s="1290" customFormat="1" ht="13.8" thickBot="1">
      <c r="A50" s="920"/>
      <c r="B50" s="923"/>
      <c r="C50" s="1053"/>
      <c r="D50" s="897"/>
      <c r="E50" s="991" t="s">
        <v>695</v>
      </c>
      <c r="F50" s="992">
        <f ca="1">F7</f>
        <v>25292.940000000002</v>
      </c>
      <c r="H50" s="680"/>
      <c r="I50" s="1326" t="s">
        <v>824</v>
      </c>
      <c r="J50" s="1333">
        <f>SUMPRODUCT((I63:I65=J47)*(J62:L62=J48)*(J63:L65))</f>
        <v>60</v>
      </c>
      <c r="K50" s="1328" t="s">
        <v>825</v>
      </c>
      <c r="L50" s="1331"/>
      <c r="M50" s="1334"/>
      <c r="O50" s="1332" t="s">
        <v>406</v>
      </c>
      <c r="P50" s="1324" t="s">
        <v>826</v>
      </c>
      <c r="Q50" s="1335">
        <f ca="1">J58</f>
        <v>0.40699999999999997</v>
      </c>
      <c r="R50" s="1325"/>
    </row>
    <row r="51" spans="1:18" s="1290" customFormat="1" ht="13.8" thickBot="1">
      <c r="A51" s="921"/>
      <c r="B51" s="923"/>
      <c r="C51" s="924"/>
      <c r="D51" s="897"/>
      <c r="E51" s="925" t="s">
        <v>696</v>
      </c>
      <c r="F51" s="295">
        <f ca="1">F8</f>
        <v>365</v>
      </c>
      <c r="I51" s="1336" t="s">
        <v>827</v>
      </c>
      <c r="J51" s="1329">
        <f>IF(J49="",J50,J49+J50-YEAR('数据-取费表'!B2))</f>
        <v>50</v>
      </c>
      <c r="K51" s="1337" t="s">
        <v>828</v>
      </c>
      <c r="L51" s="1338">
        <f ca="1">ROUND(-PV(INDIRECT("'数据-取费表'!h"&amp;$G$1),J51,(C39-C13*C76),0),0)</f>
        <v>16231</v>
      </c>
      <c r="M51" s="1339"/>
      <c r="O51" s="1332" t="s">
        <v>407</v>
      </c>
      <c r="P51" s="1324" t="s">
        <v>829</v>
      </c>
      <c r="Q51" s="1335">
        <f>J52</f>
        <v>7.4999999999999997E-2</v>
      </c>
      <c r="R51" s="1325"/>
    </row>
    <row r="52" spans="1:18" s="1290" customFormat="1" ht="13.8" thickBot="1">
      <c r="A52" s="921"/>
      <c r="B52" s="923"/>
      <c r="C52" s="924"/>
      <c r="D52" s="897"/>
      <c r="E52" s="925" t="s">
        <v>697</v>
      </c>
      <c r="F52" s="989"/>
      <c r="I52" s="1340" t="s">
        <v>830</v>
      </c>
      <c r="J52" s="1341">
        <v>7.4999999999999997E-2</v>
      </c>
      <c r="K52" s="1340" t="s">
        <v>831</v>
      </c>
      <c r="L52" s="1341"/>
      <c r="O52" s="1332" t="s">
        <v>408</v>
      </c>
      <c r="P52" s="1324" t="s">
        <v>832</v>
      </c>
      <c r="Q52" s="1325">
        <f ca="1">J53</f>
        <v>25.6</v>
      </c>
      <c r="R52" s="1325" t="s">
        <v>833</v>
      </c>
    </row>
    <row r="53" spans="1:18" s="1290" customFormat="1" ht="36.6" thickBot="1">
      <c r="A53" s="1077" t="s">
        <v>440</v>
      </c>
      <c r="B53" s="1279" t="s">
        <v>698</v>
      </c>
      <c r="C53" s="308">
        <f ca="1">ROUND(IF(F53="押一",C49/12*F11,IF(F53="押二",C49/12*2*F11,IF(F53="押三",C49/12*3*F11,C54*F11))),0)</f>
        <v>0</v>
      </c>
      <c r="D53" s="150" t="s">
        <v>2113</v>
      </c>
      <c r="E53" s="305" t="s">
        <v>699</v>
      </c>
      <c r="F53" s="1051"/>
      <c r="I53" s="1342" t="s">
        <v>834</v>
      </c>
      <c r="J53" s="2004">
        <f ca="1">IF(M47="住宅",IF(D1="——",MAX(J51,L48),MAX(J51,L48-'数据-取费表'!B24)),IF(D1="——",MIN(J51,L48),MIN(J51,L48-'数据-取费表'!B24)))</f>
        <v>25.6</v>
      </c>
      <c r="K53" s="3411" t="s">
        <v>835</v>
      </c>
      <c r="L53" s="3412"/>
      <c r="O53" s="1323" t="s">
        <v>409</v>
      </c>
      <c r="P53" s="1324" t="s">
        <v>836</v>
      </c>
      <c r="Q53" s="1325">
        <f ca="1">Q47+Q48</f>
        <v>37582</v>
      </c>
      <c r="R53" s="1325" t="s">
        <v>410</v>
      </c>
    </row>
    <row r="54" spans="1:18" s="1290" customFormat="1" ht="24.6" thickBot="1">
      <c r="A54" s="1078"/>
      <c r="B54" s="1273" t="s">
        <v>677</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837</v>
      </c>
      <c r="P54" s="1287"/>
      <c r="Q54" s="1287"/>
      <c r="R54" s="1287"/>
    </row>
    <row r="55" spans="1:18" s="1290" customFormat="1" ht="13.8" thickBot="1">
      <c r="A55" s="1018" t="s">
        <v>437</v>
      </c>
      <c r="B55" s="1275" t="s">
        <v>701</v>
      </c>
      <c r="C55" s="1019"/>
      <c r="D55" s="150"/>
      <c r="E55" s="1280"/>
      <c r="F55" s="1343"/>
      <c r="I55" s="1346" t="s">
        <v>838</v>
      </c>
      <c r="J55" s="1347">
        <f ca="1">ROUND(IF(J47="钢混",J57/J50,1-(1-2%)*(J50-J57)/J50),3)</f>
        <v>0.40699999999999997</v>
      </c>
      <c r="K55" s="1348" t="s">
        <v>839</v>
      </c>
      <c r="L55" s="1349"/>
      <c r="O55" s="1316" t="s">
        <v>809</v>
      </c>
      <c r="P55" s="1317" t="s">
        <v>810</v>
      </c>
      <c r="Q55" s="1318" t="s">
        <v>811</v>
      </c>
      <c r="R55" s="1318" t="s">
        <v>812</v>
      </c>
    </row>
    <row r="56" spans="1:18" s="1290" customFormat="1" ht="37.200000000000003" thickTop="1" thickBot="1">
      <c r="A56" s="901">
        <v>2</v>
      </c>
      <c r="B56" s="902" t="s">
        <v>702</v>
      </c>
      <c r="C56" s="224">
        <f ca="1">C13</f>
        <v>17910</v>
      </c>
      <c r="D56" s="1350"/>
      <c r="E56" s="1351"/>
      <c r="F56" s="1343"/>
      <c r="I56" s="1352" t="s">
        <v>840</v>
      </c>
      <c r="J56" s="1353" t="s">
        <v>3428</v>
      </c>
      <c r="K56" s="1326" t="s">
        <v>841</v>
      </c>
      <c r="L56" s="1329" t="str">
        <f ca="1">IF(L48&lt;J51,"——",L48-J53)</f>
        <v>——</v>
      </c>
      <c r="O56" s="1323" t="s">
        <v>403</v>
      </c>
      <c r="P56" s="1324" t="s">
        <v>815</v>
      </c>
      <c r="Q56" s="1325">
        <f ca="1">C40+J29</f>
        <v>36235</v>
      </c>
      <c r="R56" s="1325" t="s">
        <v>816</v>
      </c>
    </row>
    <row r="57" spans="1:18" s="1290" customFormat="1" ht="24.6" thickBot="1">
      <c r="A57" s="1354"/>
      <c r="B57" s="894" t="s">
        <v>765</v>
      </c>
      <c r="C57" s="230">
        <f ca="1">C29</f>
        <v>21071</v>
      </c>
      <c r="D57" s="1355"/>
      <c r="E57" s="1356"/>
      <c r="F57" s="1357"/>
      <c r="I57" s="1358" t="s">
        <v>842</v>
      </c>
      <c r="J57" s="1359">
        <f ca="1">IF(OR(M47="住宅",J51&lt;L48,J56="是"),"——",J51-L48)</f>
        <v>24.4</v>
      </c>
      <c r="K57" s="1326" t="s">
        <v>843</v>
      </c>
      <c r="L57" s="1329" t="str">
        <f ca="1">IF(L48&lt;J51,"——",IF(L55="比较法",L49,IF(L55="基准地价",L50,L51)))</f>
        <v>——</v>
      </c>
      <c r="O57" s="1323" t="s">
        <v>404</v>
      </c>
      <c r="P57" s="1324" t="s">
        <v>844</v>
      </c>
      <c r="Q57" s="1325">
        <f ca="1">L60</f>
        <v>0</v>
      </c>
      <c r="R57" s="1325" t="s">
        <v>845</v>
      </c>
    </row>
    <row r="58" spans="1:18" s="1290" customFormat="1" ht="24.6" thickBot="1">
      <c r="A58" s="307" t="s">
        <v>393</v>
      </c>
      <c r="B58" s="902" t="s">
        <v>712</v>
      </c>
      <c r="C58" s="308">
        <f ca="1">ROUND(C59+C64+C65+C66,0)</f>
        <v>62</v>
      </c>
      <c r="D58" s="904" t="s">
        <v>713</v>
      </c>
      <c r="E58" s="905"/>
      <c r="F58" s="906"/>
      <c r="I58" s="1358" t="s">
        <v>846</v>
      </c>
      <c r="J58" s="1360">
        <f ca="1">IF(J55&lt;0.4,0.4,J55)</f>
        <v>0.40699999999999997</v>
      </c>
      <c r="K58" s="1337" t="s">
        <v>847</v>
      </c>
      <c r="L58" s="1329" t="e">
        <f ca="1">ROUND(POWER(1+L52,L47-L48)*(POWER(1+L52,L48)-1)/(POWER(1+L52,L47)-1),4)</f>
        <v>#DIV/0!</v>
      </c>
      <c r="O58" s="1332" t="s">
        <v>405</v>
      </c>
      <c r="P58" s="1324" t="s">
        <v>848</v>
      </c>
      <c r="Q58" s="1325">
        <f>IF(L55="比较法",L49,IF(L55="基准地价",L50,0))</f>
        <v>0</v>
      </c>
      <c r="R58" s="1325" t="s">
        <v>816</v>
      </c>
    </row>
    <row r="59" spans="1:18" s="1290" customFormat="1" ht="24.6" thickBot="1">
      <c r="A59" s="926" t="s">
        <v>398</v>
      </c>
      <c r="B59" s="894" t="s">
        <v>717</v>
      </c>
      <c r="C59" s="2138">
        <f ca="1">ROUND(IF(AND(项目基本情况!B11="自然人",项目基本情况!B10="北京市"),C49*F59/(1+'数据-取费表'!C42),C60+C61+C62),0)</f>
        <v>2</v>
      </c>
      <c r="D59" s="907" t="s">
        <v>718</v>
      </c>
      <c r="E59" s="908" t="s">
        <v>719</v>
      </c>
      <c r="F59" s="2137" t="str">
        <f>IF(项目基本情况!B11="企业","——",IF('数据-取费表'!B10="住宅",IF(F49*F50*F51/12/(1+'数据-取费表'!F30)&gt;100000,4%,2.5%),IF(F49*F50*F51/12/(1+'数据-取费表'!F30)&gt;100000,12%,7%)))</f>
        <v>——</v>
      </c>
      <c r="I59" s="1358" t="s">
        <v>849</v>
      </c>
      <c r="J59" s="1359">
        <f ca="1">IF(OR(M47="住宅",J51&lt;L48,J56="是"),"——",ROUND(C29*J58,0))</f>
        <v>8576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850</v>
      </c>
      <c r="Q59" s="1335">
        <f>L52</f>
        <v>0</v>
      </c>
      <c r="R59" s="1325"/>
    </row>
    <row r="60" spans="1:18" s="1290" customFormat="1" ht="16.2" thickBot="1">
      <c r="A60" s="926" t="s">
        <v>397</v>
      </c>
      <c r="B60" s="894" t="s">
        <v>721</v>
      </c>
      <c r="C60" s="21">
        <f ca="1">IF(项目基本情况!B11="自然人","——",ROUND(C48*F60/(1+'数据-取费表'!C42),2))</f>
        <v>0</v>
      </c>
      <c r="D60" s="908" t="s">
        <v>722</v>
      </c>
      <c r="E60" s="894" t="s">
        <v>710</v>
      </c>
      <c r="F60" s="322">
        <f t="shared" ref="F60:F66" si="0">F32</f>
        <v>5.5000000000000007E-2</v>
      </c>
      <c r="I60" s="1361" t="s">
        <v>851</v>
      </c>
      <c r="J60" s="1362">
        <f ca="1">IF(OR(M47="住宅",J51&lt;L48,J56="是"),"0",ROUND(J59/(1+J52)^J53,0))</f>
        <v>1347</v>
      </c>
      <c r="K60" s="1363" t="s">
        <v>852</v>
      </c>
      <c r="L60" s="1362">
        <f ca="1">IF(OR(M47="住宅",L48&lt;J51),0,ROUND(L57*(L58/L59-1),0))</f>
        <v>0</v>
      </c>
      <c r="O60" s="1332" t="s">
        <v>407</v>
      </c>
      <c r="P60" s="1324" t="s">
        <v>853</v>
      </c>
      <c r="Q60" s="1325" t="e">
        <f ca="1">L58</f>
        <v>#DIV/0!</v>
      </c>
      <c r="R60" s="1325" t="s">
        <v>854</v>
      </c>
    </row>
    <row r="61" spans="1:18" s="1290" customFormat="1" ht="13.8" thickBot="1">
      <c r="A61" s="926" t="s">
        <v>779</v>
      </c>
      <c r="B61" s="894" t="s">
        <v>725</v>
      </c>
      <c r="C61" s="21">
        <f ca="1">IF(项目基本情况!B11="自然人","——",IF(D61="按租金收入计税",ROUND(C49*F61/(1+'数据-取费表'!C42),2),IF(D61="按房产原值计税",ROUND(C57*F61*0.7,2),INDIRECT("'数据-取费表'!Aj"&amp;$G$1))))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8" thickBot="1">
      <c r="A62" s="926" t="s">
        <v>782</v>
      </c>
      <c r="B62" s="893" t="s">
        <v>783</v>
      </c>
      <c r="C62" s="22">
        <f ca="1">IF(项目基本情况!B11="自然人","——",ROUND(F62*F63/10000,2))</f>
        <v>1.79</v>
      </c>
      <c r="D62" s="909" t="s">
        <v>784</v>
      </c>
      <c r="E62" s="894" t="s">
        <v>785</v>
      </c>
      <c r="F62" s="317">
        <f t="shared" si="0"/>
        <v>1.5</v>
      </c>
      <c r="I62" s="1365" t="s">
        <v>856</v>
      </c>
      <c r="J62" s="610" t="s">
        <v>857</v>
      </c>
      <c r="K62" s="610" t="s">
        <v>858</v>
      </c>
      <c r="L62" s="610" t="s">
        <v>859</v>
      </c>
      <c r="M62" s="1366" t="s">
        <v>860</v>
      </c>
      <c r="O62" s="1323" t="s">
        <v>409</v>
      </c>
      <c r="P62" s="1324" t="s">
        <v>836</v>
      </c>
      <c r="Q62" s="1325">
        <f ca="1">Q56+Q57</f>
        <v>36235</v>
      </c>
      <c r="R62" s="1325" t="s">
        <v>410</v>
      </c>
    </row>
    <row r="63" spans="1:18" s="1290" customFormat="1" ht="13.8" thickBot="1">
      <c r="A63" s="318"/>
      <c r="B63" s="900"/>
      <c r="C63" s="26"/>
      <c r="D63" s="910"/>
      <c r="E63" s="894" t="s">
        <v>786</v>
      </c>
      <c r="F63" s="295">
        <f t="shared" ca="1" si="0"/>
        <v>11939.52</v>
      </c>
      <c r="I63" s="1365" t="s">
        <v>862</v>
      </c>
      <c r="J63" s="610">
        <v>70</v>
      </c>
      <c r="K63" s="610">
        <v>50</v>
      </c>
      <c r="L63" s="610">
        <v>80</v>
      </c>
      <c r="M63" s="1367">
        <v>0.02</v>
      </c>
      <c r="O63" s="1308" t="s">
        <v>863</v>
      </c>
      <c r="P63" s="1287"/>
      <c r="Q63" s="1287"/>
      <c r="R63" s="1287"/>
    </row>
    <row r="64" spans="1:18" s="1290" customFormat="1" ht="13.8" thickBot="1">
      <c r="A64" s="926" t="s">
        <v>787</v>
      </c>
      <c r="B64" s="894" t="s">
        <v>788</v>
      </c>
      <c r="C64" s="21">
        <f ca="1">ROUND(C57*F64,2)</f>
        <v>42.14</v>
      </c>
      <c r="D64" s="908" t="s">
        <v>789</v>
      </c>
      <c r="E64" s="894" t="s">
        <v>781</v>
      </c>
      <c r="F64" s="320">
        <f t="shared" ca="1" si="0"/>
        <v>2E-3</v>
      </c>
      <c r="I64" s="1365" t="s">
        <v>864</v>
      </c>
      <c r="J64" s="610">
        <v>50</v>
      </c>
      <c r="K64" s="610">
        <v>35</v>
      </c>
      <c r="L64" s="610">
        <v>60</v>
      </c>
      <c r="M64" s="1366">
        <v>0</v>
      </c>
      <c r="O64" s="1316" t="s">
        <v>809</v>
      </c>
      <c r="P64" s="1317" t="s">
        <v>810</v>
      </c>
      <c r="Q64" s="1318" t="s">
        <v>811</v>
      </c>
      <c r="R64" s="1318" t="s">
        <v>812</v>
      </c>
    </row>
    <row r="65" spans="1:18" s="1290" customFormat="1" ht="13.8" thickBot="1">
      <c r="A65" s="926" t="s">
        <v>790</v>
      </c>
      <c r="B65" s="894" t="s">
        <v>740</v>
      </c>
      <c r="C65" s="21">
        <f ca="1">ROUND(C56*F65,2)</f>
        <v>17.91</v>
      </c>
      <c r="D65" s="908" t="s">
        <v>741</v>
      </c>
      <c r="E65" s="894" t="s">
        <v>742</v>
      </c>
      <c r="F65" s="321">
        <f t="shared" ca="1" si="0"/>
        <v>1E-3</v>
      </c>
      <c r="I65" s="1365" t="s">
        <v>865</v>
      </c>
      <c r="J65" s="610">
        <v>40</v>
      </c>
      <c r="K65" s="610">
        <v>30</v>
      </c>
      <c r="L65" s="610">
        <v>50</v>
      </c>
      <c r="M65" s="1367">
        <v>0.02</v>
      </c>
      <c r="O65" s="1323" t="s">
        <v>403</v>
      </c>
      <c r="P65" s="1324" t="s">
        <v>866</v>
      </c>
      <c r="Q65" s="1325">
        <f ca="1">C40+J29</f>
        <v>36235</v>
      </c>
      <c r="R65" s="1325" t="s">
        <v>816</v>
      </c>
    </row>
    <row r="66" spans="1:18" s="1290" customFormat="1" ht="16.2" thickBot="1">
      <c r="A66" s="926" t="s">
        <v>791</v>
      </c>
      <c r="B66" s="894" t="s">
        <v>726</v>
      </c>
      <c r="C66" s="21">
        <f ca="1">ROUND(C48*F66,2)</f>
        <v>0</v>
      </c>
      <c r="D66" s="908" t="s">
        <v>792</v>
      </c>
      <c r="E66" s="894" t="s">
        <v>710</v>
      </c>
      <c r="F66" s="304">
        <f t="shared" ca="1" si="0"/>
        <v>5.0000000000000001E-3</v>
      </c>
      <c r="O66" s="1323" t="s">
        <v>404</v>
      </c>
      <c r="P66" s="1324" t="s">
        <v>844</v>
      </c>
      <c r="Q66" s="1325">
        <f ca="1">L60</f>
        <v>0</v>
      </c>
      <c r="R66" s="1325" t="s">
        <v>867</v>
      </c>
    </row>
    <row r="67" spans="1:18" s="1290" customFormat="1" ht="24.6" thickBot="1">
      <c r="A67" s="901" t="s">
        <v>394</v>
      </c>
      <c r="B67" s="911" t="s">
        <v>750</v>
      </c>
      <c r="C67" s="308">
        <f ca="1">C48-C58</f>
        <v>-62</v>
      </c>
      <c r="D67" s="907" t="s">
        <v>751</v>
      </c>
      <c r="E67" s="912"/>
      <c r="F67" s="913"/>
      <c r="O67" s="1332" t="s">
        <v>405</v>
      </c>
      <c r="P67" s="1324" t="s">
        <v>848</v>
      </c>
      <c r="Q67" s="1368">
        <f ca="1">L51</f>
        <v>16231</v>
      </c>
      <c r="R67" s="1325" t="s">
        <v>868</v>
      </c>
    </row>
    <row r="68" spans="1:18" s="1290" customFormat="1" ht="16.2" thickBot="1">
      <c r="A68" s="891" t="s">
        <v>395</v>
      </c>
      <c r="B68" s="892" t="s">
        <v>772</v>
      </c>
      <c r="C68" s="293">
        <f ca="1">ROUND(C67*(1-((1+F70)/(1+F68))^F69)/(F68-F70),0)</f>
        <v>-884</v>
      </c>
      <c r="D68" s="909" t="s">
        <v>756</v>
      </c>
      <c r="E68" s="894" t="s">
        <v>757</v>
      </c>
      <c r="F68" s="304">
        <f ca="1">F40</f>
        <v>0.05</v>
      </c>
      <c r="O68" s="1332" t="s">
        <v>406</v>
      </c>
      <c r="P68" s="1369" t="s">
        <v>869</v>
      </c>
      <c r="Q68" s="1325">
        <f ca="1">ROUND(Q69-Q70*Q71,0)</f>
        <v>821</v>
      </c>
      <c r="R68" s="1325" t="s">
        <v>414</v>
      </c>
    </row>
    <row r="69" spans="1:18" s="1290" customFormat="1" ht="13.8" thickBot="1">
      <c r="A69" s="895"/>
      <c r="B69" s="896"/>
      <c r="C69" s="298"/>
      <c r="D69" s="914" t="s">
        <v>760</v>
      </c>
      <c r="E69" s="894" t="s">
        <v>761</v>
      </c>
      <c r="F69" s="324">
        <f ca="1">F41</f>
        <v>25.6</v>
      </c>
      <c r="O69" s="1332" t="s">
        <v>411</v>
      </c>
      <c r="P69" s="1369" t="s">
        <v>870</v>
      </c>
      <c r="Q69" s="1325">
        <f ca="1">C39</f>
        <v>2075</v>
      </c>
      <c r="R69" s="1325" t="s">
        <v>816</v>
      </c>
    </row>
    <row r="70" spans="1:18" s="1290" customFormat="1" ht="13.8" thickBot="1">
      <c r="A70" s="898"/>
      <c r="B70" s="899"/>
      <c r="C70" s="302"/>
      <c r="D70" s="910"/>
      <c r="E70" s="894" t="s">
        <v>764</v>
      </c>
      <c r="F70" s="989"/>
      <c r="O70" s="1332" t="s">
        <v>412</v>
      </c>
      <c r="P70" s="1369" t="s">
        <v>871</v>
      </c>
      <c r="Q70" s="1325">
        <f ca="1">C13</f>
        <v>17910</v>
      </c>
      <c r="R70" s="1325" t="s">
        <v>816</v>
      </c>
    </row>
    <row r="71" spans="1:18" s="1290" customFormat="1" ht="13.8" thickBot="1">
      <c r="A71" s="915" t="s">
        <v>396</v>
      </c>
      <c r="B71" s="916" t="s">
        <v>774</v>
      </c>
      <c r="C71" s="327">
        <f ca="1">ROUND(C68*10000/F71,0)</f>
        <v>-350</v>
      </c>
      <c r="D71" s="917" t="s">
        <v>775</v>
      </c>
      <c r="E71" s="918" t="s">
        <v>776</v>
      </c>
      <c r="F71" s="330">
        <f ca="1">F43</f>
        <v>25292.940000000002</v>
      </c>
      <c r="O71" s="1332" t="s">
        <v>413</v>
      </c>
      <c r="P71" s="1369" t="s">
        <v>872</v>
      </c>
      <c r="Q71" s="1335">
        <f ca="1">C76</f>
        <v>7.0000000000000007E-2</v>
      </c>
      <c r="R71" s="1325"/>
    </row>
    <row r="72" spans="1:18" s="1290" customFormat="1" ht="13.8" thickBot="1">
      <c r="B72" s="683"/>
      <c r="C72" s="683"/>
      <c r="O72" s="1332" t="s">
        <v>407</v>
      </c>
      <c r="P72" s="1324" t="s">
        <v>850</v>
      </c>
      <c r="Q72" s="1335">
        <f>L52</f>
        <v>0</v>
      </c>
      <c r="R72" s="1325"/>
    </row>
    <row r="73" spans="1:18" ht="16.2" thickBot="1">
      <c r="A73" s="1290"/>
      <c r="B73" s="683"/>
      <c r="C73" s="683"/>
      <c r="D73" s="1290"/>
      <c r="E73" s="1290"/>
      <c r="F73" s="1290"/>
      <c r="O73" s="1332" t="s">
        <v>408</v>
      </c>
      <c r="P73" s="1324" t="s">
        <v>853</v>
      </c>
      <c r="Q73" s="1325" t="e">
        <f ca="1">L58</f>
        <v>#DIV/0!</v>
      </c>
      <c r="R73" s="1325" t="s">
        <v>854</v>
      </c>
    </row>
    <row r="74" spans="1:18" ht="13.8"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8" thickBot="1">
      <c r="A75" s="1290"/>
      <c r="B75" s="331" t="s">
        <v>793</v>
      </c>
      <c r="C75" s="332">
        <f ca="1">ROUND(C13*C76,0)</f>
        <v>1254</v>
      </c>
      <c r="D75" s="1290"/>
      <c r="E75" s="1290"/>
      <c r="F75" s="1290"/>
      <c r="K75" s="1307"/>
      <c r="L75" s="1290"/>
      <c r="O75" s="1323" t="s">
        <v>409</v>
      </c>
      <c r="P75" s="1324" t="s">
        <v>836</v>
      </c>
      <c r="Q75" s="1325">
        <f ca="1">Q65+Q66</f>
        <v>36235</v>
      </c>
      <c r="R75" s="1325" t="s">
        <v>410</v>
      </c>
    </row>
    <row r="76" spans="1:18">
      <c r="B76" s="333" t="s">
        <v>794</v>
      </c>
      <c r="C76" s="334">
        <f ca="1">INDIRECT("'数据-取费表'!j"&amp;$G$1)</f>
        <v>7.0000000000000007E-2</v>
      </c>
      <c r="I76" s="1290"/>
      <c r="J76" s="1290"/>
      <c r="K76" s="1307"/>
      <c r="L76" s="1290"/>
    </row>
    <row r="77" spans="1:18">
      <c r="B77" s="335" t="s">
        <v>795</v>
      </c>
      <c r="C77" s="336"/>
      <c r="I77" s="1290"/>
      <c r="J77" s="1290"/>
      <c r="K77" s="1307"/>
      <c r="L77" s="1290"/>
    </row>
    <row r="78" spans="1:18">
      <c r="B78" s="262" t="s">
        <v>796</v>
      </c>
      <c r="C78" s="337"/>
    </row>
    <row r="79" spans="1:18">
      <c r="B79" s="331" t="s">
        <v>797</v>
      </c>
      <c r="C79" s="266">
        <f ca="1">1-C80</f>
        <v>0.39600000000000002</v>
      </c>
    </row>
    <row r="80" spans="1:18">
      <c r="B80" s="331" t="s">
        <v>798</v>
      </c>
      <c r="C80" s="266">
        <f ca="1">ROUND(C75/C39,3)</f>
        <v>0.60399999999999998</v>
      </c>
    </row>
    <row r="81" spans="2:3">
      <c r="B81" s="262" t="s">
        <v>799</v>
      </c>
      <c r="C81" s="230"/>
    </row>
    <row r="82" spans="2:3">
      <c r="B82" s="265" t="s">
        <v>800</v>
      </c>
      <c r="C82" s="267">
        <f ca="1">1-C83</f>
        <v>0.50600000000000001</v>
      </c>
    </row>
    <row r="83" spans="2:3">
      <c r="B83" s="265" t="s">
        <v>801</v>
      </c>
      <c r="C83" s="266">
        <f ca="1">ROUND(C13/C40,3)</f>
        <v>0.49399999999999999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J11">
    <cfRule type="expression" dxfId="101" priority="2">
      <formula>$M$10="自定义"</formula>
    </cfRule>
  </conditionalFormatting>
  <conditionalFormatting sqref="K55 K60">
    <cfRule type="expression" dxfId="100"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896</v>
      </c>
    </row>
    <row r="3" spans="1:1" ht="17.399999999999999">
      <c r="A3" s="1379" t="str">
        <f>项目基本情况!B5&amp;"："</f>
        <v>：</v>
      </c>
    </row>
    <row r="4" spans="1:1" ht="17.399999999999999">
      <c r="A4" s="1380" t="str">
        <f>"受贵公司委托，我公司对"&amp;项目基本情况!S1&amp;"进行了预评估。"</f>
        <v>受贵公司委托，我公司对北京市房地产抵押价值进行了预评估。</v>
      </c>
    </row>
    <row r="5" spans="1:1" ht="17.399999999999999">
      <c r="A5" s="1381" t="s">
        <v>897</v>
      </c>
    </row>
    <row r="6" spans="1:1" ht="17.399999999999999">
      <c r="A6" s="1382" t="s">
        <v>898</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4.6">
      <c r="A8" s="1383" t="s">
        <v>899</v>
      </c>
    </row>
    <row r="9" spans="1:1" ht="17.399999999999999">
      <c r="A9" s="1382" t="s">
        <v>900</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2">
      <c r="A11" s="1383" t="s">
        <v>901</v>
      </c>
    </row>
    <row r="12" spans="1:1" ht="17.399999999999999">
      <c r="A12" s="1381" t="s">
        <v>902</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903</v>
      </c>
    </row>
    <row r="15" spans="1:1" ht="17.399999999999999">
      <c r="A15" s="1384" t="str">
        <f>TEXT(项目基本情况!D3,"yyyy年m月d日;;")&amp;IF(项目基本情况!D3=项目基本情况!B3,"（评估专业人员实地查勘之日）","")</f>
        <v>2025年4月28日（评估专业人员实地查勘之日）</v>
      </c>
    </row>
    <row r="16" spans="1:1" ht="17.399999999999999">
      <c r="A16" s="1379" t="s">
        <v>904</v>
      </c>
    </row>
    <row r="17" spans="1:1" ht="69.599999999999994">
      <c r="A17" s="1380" t="s">
        <v>905</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894</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1656</v>
      </c>
      <c r="B1" s="1724"/>
      <c r="C1" s="1724"/>
      <c r="D1" s="1724"/>
      <c r="E1" s="1725"/>
      <c r="F1" s="2477"/>
      <c r="G1" s="459"/>
      <c r="H1" s="459"/>
      <c r="I1" s="459"/>
      <c r="J1" s="459"/>
      <c r="K1" s="459"/>
      <c r="L1" s="459"/>
      <c r="M1" s="459"/>
      <c r="N1" s="459"/>
      <c r="O1" s="459"/>
      <c r="P1" s="459"/>
      <c r="Q1" s="459"/>
      <c r="R1" s="459"/>
      <c r="S1" s="459"/>
    </row>
    <row r="2" spans="1:22" ht="15.6">
      <c r="A2" s="1726" t="s">
        <v>1460</v>
      </c>
      <c r="B2" s="809">
        <f ca="1">SUMIF(B6:B13,"&lt;&gt;#ref!",B6:B13)</f>
        <v>59579</v>
      </c>
      <c r="C2" s="1727" t="s">
        <v>1649</v>
      </c>
      <c r="D2" s="1728" t="s">
        <v>1650</v>
      </c>
      <c r="E2" s="2391">
        <f>SUM(E6:E13)</f>
        <v>36780.86</v>
      </c>
      <c r="F2" s="2477"/>
      <c r="G2" s="459"/>
      <c r="H2" s="459"/>
      <c r="I2" s="459"/>
      <c r="J2" s="459"/>
      <c r="K2" s="459"/>
      <c r="L2" s="459"/>
      <c r="M2" s="459"/>
      <c r="N2" s="459"/>
      <c r="O2" s="459"/>
      <c r="P2" s="459"/>
      <c r="Q2" s="459"/>
      <c r="R2" s="459"/>
      <c r="S2" s="459"/>
    </row>
    <row r="3" spans="1:22" ht="15.6">
      <c r="A3" s="1726" t="s">
        <v>684</v>
      </c>
      <c r="B3" s="2385">
        <f ca="1">ROUND(B2*10000/E2,0)</f>
        <v>16198</v>
      </c>
      <c r="C3" s="1727" t="s">
        <v>1657</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1651</v>
      </c>
      <c r="B5" s="3460" t="s">
        <v>1652</v>
      </c>
      <c r="C5" s="3461"/>
      <c r="D5" s="2478"/>
      <c r="E5" s="1729" t="s">
        <v>1653</v>
      </c>
      <c r="F5" s="129" t="s">
        <v>1654</v>
      </c>
      <c r="G5" s="459"/>
      <c r="H5" s="459"/>
      <c r="I5" s="459"/>
      <c r="J5" s="459"/>
      <c r="K5" s="459"/>
      <c r="L5" s="459"/>
      <c r="M5" s="459"/>
      <c r="N5" s="459"/>
      <c r="O5" s="459"/>
      <c r="P5" s="459"/>
      <c r="Q5" s="459"/>
      <c r="R5" s="459"/>
      <c r="S5" s="459"/>
    </row>
    <row r="6" spans="1:22" ht="14.4">
      <c r="A6" s="2388" t="str">
        <f>'数据-取费表'!AN6</f>
        <v>收益法（12号楼）</v>
      </c>
      <c r="B6" s="2386">
        <f ca="1">IF(F6="是",'数据-取费表'!AO6,0)</f>
        <v>21997</v>
      </c>
      <c r="C6" s="1727" t="s">
        <v>1649</v>
      </c>
      <c r="D6" s="2477"/>
      <c r="E6" s="2390">
        <f>IF(OR(A6=0,F6="否"),0,'数据-取费表'!K6+'数据-取费表'!S6)</f>
        <v>11487.92</v>
      </c>
      <c r="F6" s="1730" t="s">
        <v>1655</v>
      </c>
      <c r="G6" s="459"/>
      <c r="H6" s="459"/>
      <c r="I6" s="459"/>
      <c r="J6" s="459"/>
      <c r="K6" s="459"/>
      <c r="L6" s="459"/>
      <c r="M6" s="459"/>
      <c r="N6" s="459"/>
      <c r="O6" s="459"/>
      <c r="P6" s="459"/>
      <c r="Q6" s="459"/>
      <c r="R6" s="459"/>
      <c r="S6" s="459"/>
    </row>
    <row r="7" spans="1:22" ht="14.4">
      <c r="A7" s="2388" t="str">
        <f>'数据-取费表'!AN7</f>
        <v>收益法(13号楼)</v>
      </c>
      <c r="B7" s="2386">
        <f ca="1">IF(F7="是",'数据-取费表'!AO7,0)</f>
        <v>37582</v>
      </c>
      <c r="C7" s="1727" t="s">
        <v>1649</v>
      </c>
      <c r="D7" s="2477"/>
      <c r="E7" s="2390">
        <f>IF(OR(A7=0,F7="否"),0,'数据-取费表'!K7+'数据-取费表'!S7)</f>
        <v>25292.940000000002</v>
      </c>
      <c r="F7" s="1730" t="s">
        <v>1655</v>
      </c>
      <c r="G7" s="459"/>
      <c r="H7" s="459"/>
      <c r="I7" s="459"/>
      <c r="J7" s="459"/>
      <c r="K7" s="459"/>
      <c r="L7" s="459"/>
      <c r="M7" s="459"/>
      <c r="N7" s="459"/>
      <c r="O7" s="459"/>
      <c r="P7" s="459"/>
      <c r="Q7" s="459"/>
      <c r="R7" s="459"/>
      <c r="S7" s="459"/>
    </row>
    <row r="8" spans="1:22" ht="14.4">
      <c r="A8" s="2388">
        <f>'数据-取费表'!AN8</f>
        <v>0</v>
      </c>
      <c r="B8" s="2386" t="e">
        <f ca="1">IF(F8="是",'数据-取费表'!AO8,0)</f>
        <v>#REF!</v>
      </c>
      <c r="C8" s="1727" t="s">
        <v>1649</v>
      </c>
      <c r="D8" s="2477"/>
      <c r="E8" s="2390">
        <f>IF(OR(A8=0,F8="否"),0,'数据-取费表'!K8+'数据-取费表'!S8)</f>
        <v>0</v>
      </c>
      <c r="F8" s="1730" t="s">
        <v>1655</v>
      </c>
      <c r="G8" s="459"/>
      <c r="H8" s="459"/>
      <c r="I8" s="459"/>
      <c r="J8" s="459"/>
      <c r="K8" s="459"/>
      <c r="L8" s="459"/>
      <c r="M8" s="459"/>
      <c r="N8" s="459"/>
      <c r="O8" s="459"/>
      <c r="P8" s="459"/>
      <c r="Q8" s="459"/>
      <c r="R8" s="459"/>
      <c r="S8" s="459"/>
    </row>
    <row r="9" spans="1:22" ht="14.4">
      <c r="A9" s="2388">
        <f>'数据-取费表'!AN9</f>
        <v>0</v>
      </c>
      <c r="B9" s="2386" t="e">
        <f ca="1">IF(F9="是",'数据-取费表'!AO9,0)</f>
        <v>#REF!</v>
      </c>
      <c r="C9" s="1727" t="s">
        <v>1649</v>
      </c>
      <c r="D9" s="2477"/>
      <c r="E9" s="2390">
        <f>IF(OR(A9=0,F9="否"),0,'数据-取费表'!K9+'数据-取费表'!S9)</f>
        <v>0</v>
      </c>
      <c r="F9" s="1730" t="s">
        <v>1655</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7" t="s">
        <v>1649</v>
      </c>
      <c r="D10" s="2477"/>
      <c r="E10" s="2390">
        <f>IF(OR(A10=0,F10="否"),0,'数据-取费表'!K10+'数据-取费表'!S10)</f>
        <v>0</v>
      </c>
      <c r="F10" s="1730" t="s">
        <v>1655</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7" t="s">
        <v>1649</v>
      </c>
      <c r="D11" s="2477"/>
      <c r="E11" s="2390">
        <f>IF(OR(A11=0,F11="否"),0,'数据-取费表'!K11+'数据-取费表'!S11)</f>
        <v>0</v>
      </c>
      <c r="F11" s="1730" t="s">
        <v>1655</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7" t="s">
        <v>1649</v>
      </c>
      <c r="D12" s="2477"/>
      <c r="E12" s="2390">
        <f>IF(OR(A12=0,F12="否"),0,'数据-取费表'!K12+'数据-取费表'!S12)</f>
        <v>0</v>
      </c>
      <c r="F12" s="1730" t="s">
        <v>1655</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1649</v>
      </c>
      <c r="D13" s="2479"/>
      <c r="E13" s="2390">
        <f>IF(OR(A13=0,F13="否"),0,'数据-取费表'!K13+'数据-取费表'!S13)</f>
        <v>0</v>
      </c>
      <c r="F13" s="1730"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2" t="s">
        <v>1659</v>
      </c>
      <c r="C1" s="1153" t="s">
        <v>1660</v>
      </c>
      <c r="D1" s="1140"/>
      <c r="E1" s="3122"/>
      <c r="F1" s="1733"/>
      <c r="G1" s="1150" t="s">
        <v>1661</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683</v>
      </c>
      <c r="B2" s="312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1662</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8" customFormat="1" ht="28.5" customHeight="1" thickBot="1">
      <c r="A3" s="195" t="s">
        <v>684</v>
      </c>
      <c r="B3" s="343">
        <f>IF(C2="——",C49,ROUND(B2*10000/D3,0))</f>
        <v>0</v>
      </c>
      <c r="C3" s="344" t="s">
        <v>1663</v>
      </c>
      <c r="D3" s="343">
        <f>IF(D1="",'数据-汇总表'!E3,SUMIF('数据-汇总表'!$C19:$C33,D1,'数据-汇总表'!$E19:$E33))</f>
        <v>36780.86</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4.4">
      <c r="A4" s="345" t="s">
        <v>1664</v>
      </c>
      <c r="B4" s="346"/>
      <c r="C4" s="3378" t="s">
        <v>1665</v>
      </c>
      <c r="D4" s="3379"/>
      <c r="E4" s="3380" t="s">
        <v>1666</v>
      </c>
      <c r="F4" s="3381"/>
      <c r="G4" s="3378" t="s">
        <v>1667</v>
      </c>
      <c r="H4" s="3379"/>
      <c r="I4" s="3378" t="s">
        <v>1668</v>
      </c>
      <c r="J4" s="3379"/>
      <c r="K4" s="1742" t="s">
        <v>1669</v>
      </c>
      <c r="L4" s="2484"/>
      <c r="M4" s="2485"/>
      <c r="N4" s="2485"/>
      <c r="O4" s="2485"/>
      <c r="P4" s="3466" t="s">
        <v>1670</v>
      </c>
      <c r="Q4" s="3467"/>
      <c r="R4" s="3470" t="s">
        <v>1666</v>
      </c>
      <c r="S4" s="3471"/>
      <c r="T4" s="3470" t="s">
        <v>1667</v>
      </c>
      <c r="U4" s="3471"/>
      <c r="V4" s="3362" t="s">
        <v>1668</v>
      </c>
      <c r="W4" s="3362"/>
      <c r="X4" s="1263"/>
      <c r="Y4" s="3470" t="s">
        <v>1670</v>
      </c>
      <c r="Z4" s="3471"/>
      <c r="AA4" s="3465" t="s">
        <v>1666</v>
      </c>
      <c r="AB4" s="3465" t="s">
        <v>1667</v>
      </c>
      <c r="AC4" s="3465" t="s">
        <v>1668</v>
      </c>
    </row>
    <row r="5" spans="1:29">
      <c r="A5" s="348"/>
      <c r="B5" s="349"/>
      <c r="C5" s="3403" t="s">
        <v>1671</v>
      </c>
      <c r="D5" s="3398"/>
      <c r="E5" s="3472" t="s">
        <v>1672</v>
      </c>
      <c r="F5" s="3410"/>
      <c r="G5" s="3403" t="s">
        <v>1673</v>
      </c>
      <c r="H5" s="3398"/>
      <c r="I5" s="3403" t="s">
        <v>1674</v>
      </c>
      <c r="J5" s="3398"/>
      <c r="K5" s="1743"/>
      <c r="L5" s="2484"/>
      <c r="M5" s="2485"/>
      <c r="N5" s="2485"/>
      <c r="O5" s="2485"/>
      <c r="P5" s="3468"/>
      <c r="Q5" s="3385"/>
      <c r="R5" s="3390"/>
      <c r="S5" s="3391"/>
      <c r="T5" s="3390"/>
      <c r="U5" s="3391"/>
      <c r="V5" s="3362"/>
      <c r="W5" s="3362"/>
      <c r="X5" s="1263"/>
      <c r="Y5" s="3390"/>
      <c r="Z5" s="3391"/>
      <c r="AA5" s="3407"/>
      <c r="AB5" s="3407"/>
      <c r="AC5" s="3407"/>
    </row>
    <row r="6" spans="1:29" ht="15" thickBot="1">
      <c r="A6" s="350"/>
      <c r="B6" s="351"/>
      <c r="C6" s="3395" t="s">
        <v>1675</v>
      </c>
      <c r="D6" s="3396"/>
      <c r="E6" s="3404" t="s">
        <v>1675</v>
      </c>
      <c r="F6" s="3405"/>
      <c r="G6" s="3395" t="s">
        <v>1675</v>
      </c>
      <c r="H6" s="3396"/>
      <c r="I6" s="3395" t="s">
        <v>1675</v>
      </c>
      <c r="J6" s="3396"/>
      <c r="K6" s="1743" t="s">
        <v>1676</v>
      </c>
      <c r="L6" s="2484"/>
      <c r="M6" s="2485"/>
      <c r="N6" s="2485"/>
      <c r="O6" s="2485"/>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SUMIF(58:58,YEAR(E7)&amp;"-"&amp;MONTH(E7),59:59)</f>
        <v>0</v>
      </c>
      <c r="G7" s="356"/>
      <c r="H7" s="355">
        <f>SUMIF(58:58,YEAR(G7)&amp;"-"&amp;MONTH(G7),59:59)</f>
        <v>0</v>
      </c>
      <c r="I7" s="356"/>
      <c r="J7" s="355">
        <f>SUMIF(58:58,YEAR(I7)&amp;"-"&amp;MONTH(I7),59:59)</f>
        <v>0</v>
      </c>
      <c r="K7" s="1744"/>
      <c r="L7" s="2486"/>
      <c r="M7" s="2438"/>
      <c r="N7" s="2438"/>
      <c r="O7" s="2438"/>
      <c r="P7" s="3401" t="s">
        <v>1678</v>
      </c>
      <c r="Q7" s="3402"/>
      <c r="R7" s="662" t="s">
        <v>20</v>
      </c>
      <c r="S7" s="663">
        <f t="shared" ref="S7:S15" si="0">F7</f>
        <v>0</v>
      </c>
      <c r="T7" s="662" t="s">
        <v>20</v>
      </c>
      <c r="U7" s="663">
        <f t="shared" ref="U7:U15" si="1">H7</f>
        <v>0</v>
      </c>
      <c r="V7" s="662" t="s">
        <v>20</v>
      </c>
      <c r="W7" s="663">
        <f t="shared" ref="W7:W15" si="2">J7</f>
        <v>0</v>
      </c>
      <c r="X7" s="664"/>
      <c r="Y7" s="3401" t="s">
        <v>1678</v>
      </c>
      <c r="Z7" s="3400"/>
      <c r="AA7" s="50" t="e">
        <f>D7/F7</f>
        <v>#DIV/0!</v>
      </c>
      <c r="AB7" s="50" t="e">
        <f>D7/H7</f>
        <v>#DIV/0!</v>
      </c>
      <c r="AC7" s="50" t="e">
        <f>D7/J7</f>
        <v>#DIV/0!</v>
      </c>
    </row>
    <row r="8" spans="1:29" s="102" customFormat="1" ht="15" thickBot="1">
      <c r="A8" s="352" t="s">
        <v>1679</v>
      </c>
      <c r="B8" s="353"/>
      <c r="C8" s="358"/>
      <c r="D8" s="355">
        <v>100</v>
      </c>
      <c r="E8" s="1745"/>
      <c r="F8" s="357">
        <f>SUMIF(61:61,E8,62:62)-SUMIF(61:61,C8,62:62)+100</f>
        <v>100</v>
      </c>
      <c r="G8" s="358"/>
      <c r="H8" s="355">
        <f>SUMIF(61:61,G8,62:62)-SUMIF(61:61,C8,62:62)+100</f>
        <v>100</v>
      </c>
      <c r="I8" s="1745"/>
      <c r="J8" s="355">
        <f>SUMIF(61:61,I8,62:62)-SUMIF(61:61,C8,62:62)+100</f>
        <v>100</v>
      </c>
      <c r="K8" s="1744"/>
      <c r="L8" s="2486"/>
      <c r="M8" s="2438"/>
      <c r="N8" s="2438"/>
      <c r="O8" s="2438"/>
      <c r="P8" s="3401" t="s">
        <v>1681</v>
      </c>
      <c r="Q8" s="3400"/>
      <c r="R8" s="662" t="s">
        <v>20</v>
      </c>
      <c r="S8" s="663">
        <f t="shared" si="0"/>
        <v>100</v>
      </c>
      <c r="T8" s="662" t="s">
        <v>20</v>
      </c>
      <c r="U8" s="663">
        <f t="shared" si="1"/>
        <v>100</v>
      </c>
      <c r="V8" s="662" t="s">
        <v>20</v>
      </c>
      <c r="W8" s="663">
        <f t="shared" si="2"/>
        <v>100</v>
      </c>
      <c r="X8" s="664"/>
      <c r="Y8" s="3401" t="s">
        <v>1681</v>
      </c>
      <c r="Z8" s="3400"/>
      <c r="AA8" s="50">
        <f t="shared" ref="AA8:AA19" si="3">D8/F8</f>
        <v>1</v>
      </c>
      <c r="AB8" s="50">
        <f t="shared" ref="AB8:AB19" si="4">D8/H8</f>
        <v>1</v>
      </c>
      <c r="AC8" s="50">
        <f t="shared" ref="AC8:AC19" si="5">D8/J8</f>
        <v>1</v>
      </c>
    </row>
    <row r="9" spans="1:29" s="102" customFormat="1" ht="14.4">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4"/>
      <c r="L9" s="2486"/>
      <c r="M9" s="2438"/>
      <c r="N9" s="2438"/>
      <c r="O9" s="2438"/>
      <c r="P9" s="3360" t="s">
        <v>1684</v>
      </c>
      <c r="Q9" s="530" t="str">
        <f t="shared" ref="Q9:Q15" si="6">B9</f>
        <v>用途</v>
      </c>
      <c r="R9" s="662" t="s">
        <v>14</v>
      </c>
      <c r="S9" s="663">
        <f t="shared" si="0"/>
        <v>100</v>
      </c>
      <c r="T9" s="662" t="s">
        <v>14</v>
      </c>
      <c r="U9" s="663">
        <f t="shared" si="1"/>
        <v>100</v>
      </c>
      <c r="V9" s="662" t="s">
        <v>14</v>
      </c>
      <c r="W9" s="663">
        <f t="shared" si="2"/>
        <v>100</v>
      </c>
      <c r="X9" s="664"/>
      <c r="Y9" s="3264" t="s">
        <v>1685</v>
      </c>
      <c r="Z9" s="50" t="str">
        <f t="shared" ref="Z9:Z15" si="7">Q9</f>
        <v>用途</v>
      </c>
      <c r="AA9" s="50">
        <f t="shared" si="3"/>
        <v>1</v>
      </c>
      <c r="AB9" s="50">
        <f t="shared" si="4"/>
        <v>1</v>
      </c>
      <c r="AC9" s="50">
        <f t="shared" si="5"/>
        <v>1</v>
      </c>
    </row>
    <row r="10" spans="1:29" s="366" customFormat="1" ht="28.8">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360"/>
      <c r="Q10" s="530" t="str">
        <f t="shared" si="6"/>
        <v>土地使用年限（年）</v>
      </c>
      <c r="R10" s="662" t="s">
        <v>14</v>
      </c>
      <c r="S10" s="663">
        <f t="shared" si="0"/>
        <v>100</v>
      </c>
      <c r="T10" s="662" t="s">
        <v>14</v>
      </c>
      <c r="U10" s="663">
        <f t="shared" si="1"/>
        <v>100</v>
      </c>
      <c r="V10" s="662" t="s">
        <v>14</v>
      </c>
      <c r="W10" s="663">
        <f t="shared" si="2"/>
        <v>100</v>
      </c>
      <c r="X10" s="664"/>
      <c r="Y10" s="3264"/>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0"/>
      <c r="Q11" s="530" t="str">
        <f t="shared" si="6"/>
        <v>容积率</v>
      </c>
      <c r="R11" s="662" t="s">
        <v>18</v>
      </c>
      <c r="S11" s="663" t="e">
        <f t="shared" si="0"/>
        <v>#N/A</v>
      </c>
      <c r="T11" s="662" t="s">
        <v>18</v>
      </c>
      <c r="U11" s="663" t="e">
        <f t="shared" si="1"/>
        <v>#N/A</v>
      </c>
      <c r="V11" s="662" t="s">
        <v>18</v>
      </c>
      <c r="W11" s="663" t="e">
        <f t="shared" si="2"/>
        <v>#N/A</v>
      </c>
      <c r="X11" s="664"/>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8"/>
      <c r="N12" s="2438"/>
      <c r="O12" s="2438"/>
      <c r="P12" s="3360"/>
      <c r="Q12" s="530">
        <f t="shared" si="6"/>
        <v>111</v>
      </c>
      <c r="R12" s="662" t="s">
        <v>18</v>
      </c>
      <c r="S12" s="663">
        <f t="shared" si="0"/>
        <v>100</v>
      </c>
      <c r="T12" s="662" t="s">
        <v>18</v>
      </c>
      <c r="U12" s="663">
        <f t="shared" si="1"/>
        <v>100</v>
      </c>
      <c r="V12" s="662" t="s">
        <v>18</v>
      </c>
      <c r="W12" s="663">
        <f t="shared" si="2"/>
        <v>100</v>
      </c>
      <c r="X12" s="664"/>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60"/>
      <c r="Q13" s="530">
        <f t="shared" si="6"/>
        <v>111</v>
      </c>
      <c r="R13" s="662" t="s">
        <v>18</v>
      </c>
      <c r="S13" s="663">
        <f t="shared" si="0"/>
        <v>100</v>
      </c>
      <c r="T13" s="662" t="s">
        <v>18</v>
      </c>
      <c r="U13" s="663">
        <f t="shared" si="1"/>
        <v>100</v>
      </c>
      <c r="V13" s="662" t="s">
        <v>18</v>
      </c>
      <c r="W13" s="663">
        <f t="shared" si="2"/>
        <v>100</v>
      </c>
      <c r="X13" s="664"/>
      <c r="Y13" s="3264"/>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60"/>
      <c r="Q14" s="530">
        <f t="shared" si="6"/>
        <v>111</v>
      </c>
      <c r="R14" s="662" t="s">
        <v>18</v>
      </c>
      <c r="S14" s="663">
        <f t="shared" si="0"/>
        <v>100</v>
      </c>
      <c r="T14" s="662" t="s">
        <v>18</v>
      </c>
      <c r="U14" s="663">
        <f t="shared" si="1"/>
        <v>100</v>
      </c>
      <c r="V14" s="662" t="s">
        <v>18</v>
      </c>
      <c r="W14" s="663">
        <f t="shared" si="2"/>
        <v>100</v>
      </c>
      <c r="X14" s="664"/>
      <c r="Y14" s="3264"/>
      <c r="Z14" s="50">
        <f t="shared" si="7"/>
        <v>111</v>
      </c>
      <c r="AA14" s="50">
        <f t="shared" si="3"/>
        <v>1</v>
      </c>
      <c r="AB14" s="50">
        <f t="shared" si="4"/>
        <v>1</v>
      </c>
      <c r="AC14" s="50">
        <f t="shared" si="5"/>
        <v>1</v>
      </c>
    </row>
    <row r="15" spans="1:29" ht="96.6">
      <c r="A15" s="379" t="s">
        <v>1688</v>
      </c>
      <c r="B15" s="58" t="s">
        <v>1255</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6" t="s">
        <v>1689</v>
      </c>
      <c r="Q15" s="1261" t="str">
        <f t="shared" si="6"/>
        <v>居住社区成熟度</v>
      </c>
      <c r="R15" s="665" t="s">
        <v>18</v>
      </c>
      <c r="S15" s="666">
        <f t="shared" si="0"/>
        <v>100</v>
      </c>
      <c r="T15" s="665" t="s">
        <v>18</v>
      </c>
      <c r="U15" s="666">
        <f t="shared" si="1"/>
        <v>100</v>
      </c>
      <c r="V15" s="665" t="s">
        <v>18</v>
      </c>
      <c r="W15" s="666">
        <f t="shared" si="2"/>
        <v>100</v>
      </c>
      <c r="X15" s="1263"/>
      <c r="Y15" s="3368" t="s">
        <v>1689</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0"/>
      <c r="M16" s="2485"/>
      <c r="N16" s="2485"/>
      <c r="O16" s="2485"/>
      <c r="P16" s="3367"/>
      <c r="Q16" s="1261"/>
      <c r="R16" s="665"/>
      <c r="S16" s="666"/>
      <c r="T16" s="665"/>
      <c r="U16" s="666"/>
      <c r="V16" s="665"/>
      <c r="W16" s="666"/>
      <c r="X16" s="1263"/>
      <c r="Y16" s="3369"/>
      <c r="Z16" s="1262"/>
      <c r="AA16" s="1262">
        <v>1</v>
      </c>
      <c r="AB16" s="1262">
        <v>1</v>
      </c>
      <c r="AC16" s="1262">
        <v>1</v>
      </c>
    </row>
    <row r="17" spans="1:29" ht="82.8">
      <c r="A17" s="367"/>
      <c r="B17" s="390" t="s">
        <v>1257</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7"/>
      <c r="Q17" s="1261" t="str">
        <f>B17</f>
        <v>交通便捷度</v>
      </c>
      <c r="R17" s="665" t="s">
        <v>18</v>
      </c>
      <c r="S17" s="666">
        <f>F17</f>
        <v>100</v>
      </c>
      <c r="T17" s="665" t="s">
        <v>18</v>
      </c>
      <c r="U17" s="666">
        <f>H17</f>
        <v>100</v>
      </c>
      <c r="V17" s="665" t="s">
        <v>18</v>
      </c>
      <c r="W17" s="666">
        <f>J17</f>
        <v>100</v>
      </c>
      <c r="X17" s="1263"/>
      <c r="Y17" s="3369"/>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0"/>
      <c r="M18" s="2485"/>
      <c r="N18" s="2485"/>
      <c r="O18" s="2485"/>
      <c r="P18" s="3367"/>
      <c r="Q18" s="1261"/>
      <c r="R18" s="665"/>
      <c r="S18" s="666"/>
      <c r="T18" s="665"/>
      <c r="U18" s="666"/>
      <c r="V18" s="665"/>
      <c r="W18" s="666"/>
      <c r="X18" s="1263"/>
      <c r="Y18" s="3369"/>
      <c r="Z18" s="1262"/>
      <c r="AA18" s="1262">
        <v>1</v>
      </c>
      <c r="AB18" s="1262">
        <v>1</v>
      </c>
      <c r="AC18" s="1262">
        <v>1</v>
      </c>
    </row>
    <row r="19" spans="1:29" ht="41.4">
      <c r="A19" s="367"/>
      <c r="B19" s="390" t="s">
        <v>1256</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7"/>
      <c r="Q19" s="1261" t="str">
        <f>B19</f>
        <v>公共配套设施</v>
      </c>
      <c r="R19" s="665" t="s">
        <v>18</v>
      </c>
      <c r="S19" s="666">
        <f>F19</f>
        <v>100</v>
      </c>
      <c r="T19" s="665" t="s">
        <v>18</v>
      </c>
      <c r="U19" s="666">
        <f>H19</f>
        <v>100</v>
      </c>
      <c r="V19" s="665" t="s">
        <v>18</v>
      </c>
      <c r="W19" s="666">
        <f>J19</f>
        <v>100</v>
      </c>
      <c r="X19" s="1263"/>
      <c r="Y19" s="3369"/>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0"/>
      <c r="M20" s="2485"/>
      <c r="N20" s="2485"/>
      <c r="O20" s="2485"/>
      <c r="P20" s="3367"/>
      <c r="Q20" s="1261"/>
      <c r="R20" s="665"/>
      <c r="S20" s="666"/>
      <c r="T20" s="665"/>
      <c r="U20" s="666"/>
      <c r="V20" s="665"/>
      <c r="W20" s="666"/>
      <c r="X20" s="1263"/>
      <c r="Y20" s="3369"/>
      <c r="Z20" s="1262"/>
      <c r="AA20" s="1262">
        <v>1</v>
      </c>
      <c r="AB20" s="1262">
        <v>1</v>
      </c>
      <c r="AC20" s="1262">
        <v>1</v>
      </c>
    </row>
    <row r="21" spans="1:29" ht="27.6">
      <c r="A21" s="367"/>
      <c r="B21" s="586" t="s">
        <v>1258</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7"/>
      <c r="Q21" s="1261" t="str">
        <f>B21</f>
        <v>基础设施水平</v>
      </c>
      <c r="R21" s="665" t="s">
        <v>14</v>
      </c>
      <c r="S21" s="666">
        <f>F21</f>
        <v>100</v>
      </c>
      <c r="T21" s="665" t="s">
        <v>14</v>
      </c>
      <c r="U21" s="666">
        <f>H21</f>
        <v>100</v>
      </c>
      <c r="V21" s="665" t="s">
        <v>14</v>
      </c>
      <c r="W21" s="666">
        <f>J21</f>
        <v>100</v>
      </c>
      <c r="X21" s="1263"/>
      <c r="Y21" s="336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0"/>
      <c r="M22" s="2485"/>
      <c r="N22" s="2485"/>
      <c r="O22" s="2485"/>
      <c r="P22" s="3367"/>
      <c r="Q22" s="1261"/>
      <c r="R22" s="665"/>
      <c r="S22" s="666"/>
      <c r="T22" s="665"/>
      <c r="U22" s="666"/>
      <c r="V22" s="665"/>
      <c r="W22" s="666"/>
      <c r="X22" s="1263"/>
      <c r="Y22" s="3369"/>
      <c r="Z22" s="1262"/>
      <c r="AA22" s="1262">
        <v>1</v>
      </c>
      <c r="AB22" s="1262">
        <v>1</v>
      </c>
      <c r="AC22" s="1262">
        <v>1</v>
      </c>
    </row>
    <row r="23" spans="1:29" ht="55.2">
      <c r="A23" s="367"/>
      <c r="B23" s="390" t="s">
        <v>1259</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7"/>
      <c r="Q23" s="1261" t="str">
        <f>B23</f>
        <v>自然及人文环境</v>
      </c>
      <c r="R23" s="665" t="s">
        <v>18</v>
      </c>
      <c r="S23" s="666">
        <f>F23</f>
        <v>100</v>
      </c>
      <c r="T23" s="665" t="s">
        <v>18</v>
      </c>
      <c r="U23" s="666">
        <f>H23</f>
        <v>100</v>
      </c>
      <c r="V23" s="665" t="s">
        <v>18</v>
      </c>
      <c r="W23" s="666">
        <f>J23</f>
        <v>100</v>
      </c>
      <c r="X23" s="1263"/>
      <c r="Y23" s="3369"/>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0"/>
      <c r="M24" s="2485"/>
      <c r="N24" s="2485"/>
      <c r="O24" s="2485"/>
      <c r="P24" s="3367"/>
      <c r="Q24" s="1261"/>
      <c r="R24" s="665"/>
      <c r="S24" s="666"/>
      <c r="T24" s="665"/>
      <c r="U24" s="666"/>
      <c r="V24" s="665"/>
      <c r="W24" s="666"/>
      <c r="X24" s="1263"/>
      <c r="Y24" s="3369"/>
      <c r="Z24" s="1262"/>
      <c r="AA24" s="1262">
        <v>1</v>
      </c>
      <c r="AB24" s="1262">
        <v>1</v>
      </c>
      <c r="AC24" s="1262">
        <v>1</v>
      </c>
    </row>
    <row r="25" spans="1:29" ht="15">
      <c r="A25" s="367"/>
      <c r="B25" s="364" t="s">
        <v>1690</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367"/>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69"/>
      <c r="Z25" s="1262" t="str">
        <f>Q25</f>
        <v>楼层-1</v>
      </c>
      <c r="AA25" s="1262">
        <f t="shared" ref="AA25:AA46" si="15">D25/F25</f>
        <v>1</v>
      </c>
      <c r="AB25" s="1262">
        <f t="shared" ref="AB25:AB46" si="16">D25/H25</f>
        <v>1</v>
      </c>
      <c r="AC25" s="1262">
        <f t="shared" ref="AC25:AC46" si="17">D25/J25</f>
        <v>1</v>
      </c>
    </row>
    <row r="26" spans="1:29" ht="15">
      <c r="A26" s="367"/>
      <c r="B26" s="364" t="s">
        <v>1691</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367"/>
      <c r="Q26" s="1261" t="str">
        <f t="shared" si="11"/>
        <v>朝向</v>
      </c>
      <c r="R26" s="665" t="s">
        <v>18</v>
      </c>
      <c r="S26" s="666">
        <f t="shared" si="12"/>
        <v>100</v>
      </c>
      <c r="T26" s="665" t="s">
        <v>18</v>
      </c>
      <c r="U26" s="666">
        <f t="shared" si="13"/>
        <v>100</v>
      </c>
      <c r="V26" s="665" t="s">
        <v>18</v>
      </c>
      <c r="W26" s="666">
        <f t="shared" si="14"/>
        <v>100</v>
      </c>
      <c r="X26" s="1263"/>
      <c r="Y26" s="3369"/>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8"/>
      <c r="N27" s="2438"/>
      <c r="O27" s="2438"/>
      <c r="P27" s="3367"/>
      <c r="Q27" s="530">
        <f t="shared" si="11"/>
        <v>111</v>
      </c>
      <c r="R27" s="662" t="s">
        <v>18</v>
      </c>
      <c r="S27" s="663">
        <f t="shared" si="12"/>
        <v>100</v>
      </c>
      <c r="T27" s="662" t="s">
        <v>18</v>
      </c>
      <c r="U27" s="663">
        <f t="shared" si="13"/>
        <v>100</v>
      </c>
      <c r="V27" s="662" t="s">
        <v>18</v>
      </c>
      <c r="W27" s="663">
        <f t="shared" si="14"/>
        <v>100</v>
      </c>
      <c r="X27" s="664"/>
      <c r="Y27" s="3369"/>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367"/>
      <c r="Q28" s="1261">
        <f t="shared" si="11"/>
        <v>111</v>
      </c>
      <c r="R28" s="665" t="s">
        <v>18</v>
      </c>
      <c r="S28" s="666">
        <f t="shared" si="12"/>
        <v>100</v>
      </c>
      <c r="T28" s="665" t="s">
        <v>18</v>
      </c>
      <c r="U28" s="666">
        <f t="shared" si="13"/>
        <v>100</v>
      </c>
      <c r="V28" s="665" t="s">
        <v>18</v>
      </c>
      <c r="W28" s="666">
        <f t="shared" si="14"/>
        <v>100</v>
      </c>
      <c r="X28" s="1263"/>
      <c r="Y28" s="3369"/>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367"/>
      <c r="Q29" s="1261">
        <f t="shared" si="11"/>
        <v>111</v>
      </c>
      <c r="R29" s="665" t="s">
        <v>18</v>
      </c>
      <c r="S29" s="666">
        <f t="shared" si="12"/>
        <v>100</v>
      </c>
      <c r="T29" s="665" t="s">
        <v>18</v>
      </c>
      <c r="U29" s="666">
        <f t="shared" si="13"/>
        <v>100</v>
      </c>
      <c r="V29" s="665" t="s">
        <v>18</v>
      </c>
      <c r="W29" s="666">
        <f t="shared" si="14"/>
        <v>100</v>
      </c>
      <c r="X29" s="1263"/>
      <c r="Y29" s="3369"/>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367"/>
      <c r="Q30" s="1261">
        <f t="shared" si="11"/>
        <v>111</v>
      </c>
      <c r="R30" s="665" t="s">
        <v>18</v>
      </c>
      <c r="S30" s="666">
        <f t="shared" si="12"/>
        <v>100</v>
      </c>
      <c r="T30" s="665" t="s">
        <v>18</v>
      </c>
      <c r="U30" s="666">
        <f t="shared" si="13"/>
        <v>100</v>
      </c>
      <c r="V30" s="665" t="s">
        <v>18</v>
      </c>
      <c r="W30" s="666">
        <f t="shared" si="14"/>
        <v>100</v>
      </c>
      <c r="X30" s="1263"/>
      <c r="Y30" s="3369"/>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367"/>
      <c r="Q31" s="1261">
        <f t="shared" si="11"/>
        <v>111</v>
      </c>
      <c r="R31" s="665" t="s">
        <v>18</v>
      </c>
      <c r="S31" s="666">
        <f t="shared" si="12"/>
        <v>100</v>
      </c>
      <c r="T31" s="665" t="s">
        <v>18</v>
      </c>
      <c r="U31" s="666">
        <f t="shared" si="13"/>
        <v>100</v>
      </c>
      <c r="V31" s="665" t="s">
        <v>18</v>
      </c>
      <c r="W31" s="666">
        <f t="shared" si="14"/>
        <v>100</v>
      </c>
      <c r="X31" s="1263"/>
      <c r="Y31" s="3369"/>
      <c r="Z31" s="1262">
        <f t="shared" si="18"/>
        <v>111</v>
      </c>
      <c r="AA31" s="1262">
        <f t="shared" si="15"/>
        <v>1</v>
      </c>
      <c r="AB31" s="1262">
        <f t="shared" si="16"/>
        <v>1</v>
      </c>
      <c r="AC31" s="1262">
        <f t="shared" si="17"/>
        <v>1</v>
      </c>
    </row>
    <row r="32" spans="1:29" ht="15">
      <c r="A32" s="379" t="s">
        <v>1692</v>
      </c>
      <c r="B32" s="60" t="s">
        <v>1693</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370" t="s">
        <v>1694</v>
      </c>
      <c r="Q32" s="1261" t="str">
        <f t="shared" si="11"/>
        <v>建筑类型</v>
      </c>
      <c r="R32" s="665" t="s">
        <v>18</v>
      </c>
      <c r="S32" s="666">
        <f t="shared" si="12"/>
        <v>100</v>
      </c>
      <c r="T32" s="665" t="s">
        <v>18</v>
      </c>
      <c r="U32" s="666">
        <f t="shared" si="13"/>
        <v>100</v>
      </c>
      <c r="V32" s="665" t="s">
        <v>18</v>
      </c>
      <c r="W32" s="666">
        <f t="shared" si="14"/>
        <v>100</v>
      </c>
      <c r="X32" s="1263"/>
      <c r="Y32" s="3373" t="s">
        <v>1694</v>
      </c>
      <c r="Z32" s="1262" t="str">
        <f t="shared" si="18"/>
        <v>建筑类型</v>
      </c>
      <c r="AA32" s="1262">
        <f t="shared" si="15"/>
        <v>1</v>
      </c>
      <c r="AB32" s="1262">
        <f t="shared" si="16"/>
        <v>1</v>
      </c>
      <c r="AC32" s="1262">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371"/>
      <c r="Q33" s="531" t="str">
        <f t="shared" si="11"/>
        <v>项目建筑规模</v>
      </c>
      <c r="R33" s="667" t="s">
        <v>18</v>
      </c>
      <c r="S33" s="668" t="e">
        <f t="shared" si="12"/>
        <v>#N/A</v>
      </c>
      <c r="T33" s="667" t="s">
        <v>18</v>
      </c>
      <c r="U33" s="668" t="e">
        <f t="shared" si="13"/>
        <v>#N/A</v>
      </c>
      <c r="V33" s="667" t="s">
        <v>18</v>
      </c>
      <c r="W33" s="668" t="e">
        <f t="shared" si="14"/>
        <v>#N/A</v>
      </c>
      <c r="X33" s="669"/>
      <c r="Y33" s="3373"/>
      <c r="Z33" s="670" t="str">
        <f t="shared" si="18"/>
        <v>项目建筑规模</v>
      </c>
      <c r="AA33" s="1262" t="e">
        <f t="shared" si="15"/>
        <v>#N/A</v>
      </c>
      <c r="AB33" s="1262" t="e">
        <f t="shared" si="16"/>
        <v>#N/A</v>
      </c>
      <c r="AC33" s="1262" t="e">
        <f t="shared" si="17"/>
        <v>#N/A</v>
      </c>
    </row>
    <row r="34" spans="1:29" ht="15">
      <c r="A34" s="409"/>
      <c r="B34" s="364" t="s">
        <v>1696</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71"/>
      <c r="Q34" s="1261" t="str">
        <f t="shared" si="11"/>
        <v>建筑结构</v>
      </c>
      <c r="R34" s="665" t="s">
        <v>18</v>
      </c>
      <c r="S34" s="666">
        <f t="shared" si="12"/>
        <v>100</v>
      </c>
      <c r="T34" s="665" t="s">
        <v>18</v>
      </c>
      <c r="U34" s="666">
        <f t="shared" si="13"/>
        <v>100</v>
      </c>
      <c r="V34" s="665" t="s">
        <v>18</v>
      </c>
      <c r="W34" s="666">
        <f t="shared" si="14"/>
        <v>100</v>
      </c>
      <c r="X34" s="1263"/>
      <c r="Y34" s="3373"/>
      <c r="Z34" s="1262" t="str">
        <f t="shared" si="18"/>
        <v>建筑结构</v>
      </c>
      <c r="AA34" s="1262">
        <f t="shared" si="15"/>
        <v>1</v>
      </c>
      <c r="AB34" s="1262">
        <f t="shared" si="16"/>
        <v>1</v>
      </c>
      <c r="AC34" s="1262">
        <f t="shared" si="17"/>
        <v>1</v>
      </c>
    </row>
    <row r="35" spans="1:29" ht="15">
      <c r="A35" s="409"/>
      <c r="B35" s="364" t="s">
        <v>1697</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371"/>
      <c r="Q35" s="1261" t="str">
        <f t="shared" si="11"/>
        <v>建筑品质</v>
      </c>
      <c r="R35" s="665" t="s">
        <v>18</v>
      </c>
      <c r="S35" s="666">
        <f t="shared" si="12"/>
        <v>100</v>
      </c>
      <c r="T35" s="665" t="s">
        <v>18</v>
      </c>
      <c r="U35" s="666">
        <f t="shared" si="13"/>
        <v>100</v>
      </c>
      <c r="V35" s="665" t="s">
        <v>18</v>
      </c>
      <c r="W35" s="666">
        <f t="shared" si="14"/>
        <v>100</v>
      </c>
      <c r="X35" s="1263"/>
      <c r="Y35" s="3373"/>
      <c r="Z35" s="1262" t="str">
        <f t="shared" si="18"/>
        <v>建筑品质</v>
      </c>
      <c r="AA35" s="1262">
        <f t="shared" si="15"/>
        <v>1</v>
      </c>
      <c r="AB35" s="1262">
        <f t="shared" si="16"/>
        <v>1</v>
      </c>
      <c r="AC35" s="1262">
        <f t="shared" si="17"/>
        <v>1</v>
      </c>
    </row>
    <row r="36" spans="1:29" ht="15">
      <c r="A36" s="409"/>
      <c r="B36" s="364" t="s">
        <v>1698</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371"/>
      <c r="Q36" s="1261" t="str">
        <f t="shared" si="11"/>
        <v>公共部分装修</v>
      </c>
      <c r="R36" s="665" t="s">
        <v>18</v>
      </c>
      <c r="S36" s="666">
        <f t="shared" si="12"/>
        <v>100</v>
      </c>
      <c r="T36" s="665" t="s">
        <v>18</v>
      </c>
      <c r="U36" s="666">
        <f t="shared" si="13"/>
        <v>100</v>
      </c>
      <c r="V36" s="665" t="s">
        <v>18</v>
      </c>
      <c r="W36" s="666">
        <f t="shared" si="14"/>
        <v>100</v>
      </c>
      <c r="X36" s="1263"/>
      <c r="Y36" s="3373"/>
      <c r="Z36" s="1262" t="str">
        <f t="shared" si="18"/>
        <v>公共部分装修</v>
      </c>
      <c r="AA36" s="1262">
        <f t="shared" si="15"/>
        <v>1</v>
      </c>
      <c r="AB36" s="1262">
        <f t="shared" si="16"/>
        <v>1</v>
      </c>
      <c r="AC36" s="1262">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1"/>
      <c r="Q37" s="530" t="str">
        <f t="shared" si="11"/>
        <v>成新度</v>
      </c>
      <c r="R37" s="662" t="s">
        <v>18</v>
      </c>
      <c r="S37" s="663" t="e">
        <f t="shared" si="12"/>
        <v>#N/A</v>
      </c>
      <c r="T37" s="662" t="s">
        <v>18</v>
      </c>
      <c r="U37" s="663" t="e">
        <f t="shared" si="13"/>
        <v>#N/A</v>
      </c>
      <c r="V37" s="662" t="s">
        <v>18</v>
      </c>
      <c r="W37" s="663" t="e">
        <f t="shared" si="14"/>
        <v>#N/A</v>
      </c>
      <c r="X37" s="664"/>
      <c r="Y37" s="3373"/>
      <c r="Z37" s="50" t="str">
        <f t="shared" si="18"/>
        <v>成新度</v>
      </c>
      <c r="AA37" s="50" t="e">
        <f t="shared" si="15"/>
        <v>#N/A</v>
      </c>
      <c r="AB37" s="50" t="e">
        <f t="shared" si="16"/>
        <v>#N/A</v>
      </c>
      <c r="AC37" s="50" t="e">
        <f t="shared" si="17"/>
        <v>#N/A</v>
      </c>
    </row>
    <row r="38" spans="1:29" ht="15">
      <c r="A38" s="409"/>
      <c r="B38" s="364" t="s">
        <v>1700</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371" t="s">
        <v>1694</v>
      </c>
      <c r="Q38" s="1261" t="str">
        <f t="shared" si="11"/>
        <v>物业管理</v>
      </c>
      <c r="R38" s="665" t="s">
        <v>18</v>
      </c>
      <c r="S38" s="666">
        <f t="shared" si="12"/>
        <v>100</v>
      </c>
      <c r="T38" s="665" t="s">
        <v>18</v>
      </c>
      <c r="U38" s="666">
        <f t="shared" si="13"/>
        <v>100</v>
      </c>
      <c r="V38" s="665" t="s">
        <v>18</v>
      </c>
      <c r="W38" s="666">
        <f t="shared" si="14"/>
        <v>100</v>
      </c>
      <c r="X38" s="1263"/>
      <c r="Y38" s="3373" t="s">
        <v>1694</v>
      </c>
      <c r="Z38" s="1262" t="str">
        <f t="shared" si="18"/>
        <v>物业管理</v>
      </c>
      <c r="AA38" s="1262">
        <f t="shared" si="15"/>
        <v>1</v>
      </c>
      <c r="AB38" s="1262">
        <f t="shared" si="16"/>
        <v>1</v>
      </c>
      <c r="AC38" s="1262">
        <f t="shared" si="17"/>
        <v>1</v>
      </c>
    </row>
    <row r="39" spans="1:29" ht="15">
      <c r="A39" s="409"/>
      <c r="B39" s="364" t="s">
        <v>1701</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371"/>
      <c r="Q39" s="1261" t="str">
        <f t="shared" si="11"/>
        <v>市政基础设施</v>
      </c>
      <c r="R39" s="665" t="s">
        <v>18</v>
      </c>
      <c r="S39" s="666">
        <f t="shared" si="12"/>
        <v>100</v>
      </c>
      <c r="T39" s="665" t="s">
        <v>18</v>
      </c>
      <c r="U39" s="666">
        <f t="shared" si="13"/>
        <v>100</v>
      </c>
      <c r="V39" s="665" t="s">
        <v>18</v>
      </c>
      <c r="W39" s="666">
        <f t="shared" si="14"/>
        <v>100</v>
      </c>
      <c r="X39" s="1263"/>
      <c r="Y39" s="3373"/>
      <c r="Z39" s="1262" t="str">
        <f t="shared" si="18"/>
        <v>市政基础设施</v>
      </c>
      <c r="AA39" s="1262">
        <f t="shared" si="15"/>
        <v>1</v>
      </c>
      <c r="AB39" s="1262">
        <f t="shared" si="16"/>
        <v>1</v>
      </c>
      <c r="AC39" s="1262">
        <f t="shared" si="17"/>
        <v>1</v>
      </c>
    </row>
    <row r="40" spans="1:29" ht="15">
      <c r="A40" s="409"/>
      <c r="B40" s="364" t="s">
        <v>1702</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371"/>
      <c r="Q40" s="1261" t="str">
        <f t="shared" si="11"/>
        <v>房型</v>
      </c>
      <c r="R40" s="665" t="s">
        <v>18</v>
      </c>
      <c r="S40" s="666">
        <f t="shared" si="12"/>
        <v>100</v>
      </c>
      <c r="T40" s="665" t="s">
        <v>18</v>
      </c>
      <c r="U40" s="666">
        <f t="shared" si="13"/>
        <v>100</v>
      </c>
      <c r="V40" s="665" t="s">
        <v>18</v>
      </c>
      <c r="W40" s="666">
        <f t="shared" si="14"/>
        <v>100</v>
      </c>
      <c r="X40" s="1263"/>
      <c r="Y40" s="3373"/>
      <c r="Z40" s="1262" t="str">
        <f t="shared" si="18"/>
        <v>房型</v>
      </c>
      <c r="AA40" s="1262">
        <f t="shared" si="15"/>
        <v>1</v>
      </c>
      <c r="AB40" s="1262">
        <f t="shared" si="16"/>
        <v>1</v>
      </c>
      <c r="AC40" s="1262">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371"/>
      <c r="Q41" s="531" t="str">
        <f t="shared" si="11"/>
        <v>单套/主力户型建筑面积</v>
      </c>
      <c r="R41" s="667" t="s">
        <v>18</v>
      </c>
      <c r="S41" s="668">
        <f t="shared" si="12"/>
        <v>100</v>
      </c>
      <c r="T41" s="667" t="s">
        <v>18</v>
      </c>
      <c r="U41" s="668">
        <f t="shared" si="13"/>
        <v>100</v>
      </c>
      <c r="V41" s="667" t="s">
        <v>18</v>
      </c>
      <c r="W41" s="668">
        <f t="shared" si="14"/>
        <v>100</v>
      </c>
      <c r="X41" s="669"/>
      <c r="Y41" s="3373"/>
      <c r="Z41" s="670" t="str">
        <f t="shared" si="18"/>
        <v>单套/主力户型建筑面积</v>
      </c>
      <c r="AA41" s="1262">
        <f t="shared" si="15"/>
        <v>1</v>
      </c>
      <c r="AB41" s="1262">
        <f t="shared" si="16"/>
        <v>1</v>
      </c>
      <c r="AC41" s="1262">
        <f t="shared" si="17"/>
        <v>1</v>
      </c>
    </row>
    <row r="42" spans="1:29" ht="15">
      <c r="A42" s="409"/>
      <c r="B42" s="364" t="s">
        <v>1704</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371"/>
      <c r="Q42" s="1261" t="str">
        <f t="shared" si="11"/>
        <v>内部装修</v>
      </c>
      <c r="R42" s="665" t="s">
        <v>18</v>
      </c>
      <c r="S42" s="666">
        <f t="shared" si="12"/>
        <v>100</v>
      </c>
      <c r="T42" s="665" t="s">
        <v>18</v>
      </c>
      <c r="U42" s="666">
        <f t="shared" si="13"/>
        <v>100</v>
      </c>
      <c r="V42" s="665" t="s">
        <v>18</v>
      </c>
      <c r="W42" s="666">
        <f t="shared" si="14"/>
        <v>100</v>
      </c>
      <c r="X42" s="1263"/>
      <c r="Y42" s="3373"/>
      <c r="Z42" s="1262" t="str">
        <f t="shared" si="18"/>
        <v>内部装修</v>
      </c>
      <c r="AA42" s="1262">
        <f t="shared" si="15"/>
        <v>1</v>
      </c>
      <c r="AB42" s="1262">
        <f t="shared" si="16"/>
        <v>1</v>
      </c>
      <c r="AC42" s="1262">
        <f t="shared" si="17"/>
        <v>1</v>
      </c>
    </row>
    <row r="43" spans="1:29" ht="28.8">
      <c r="A43" s="409"/>
      <c r="B43" s="364" t="s">
        <v>1705</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371"/>
      <c r="Q43" s="1261" t="str">
        <f t="shared" si="11"/>
        <v>内部装修维护情况</v>
      </c>
      <c r="R43" s="665" t="s">
        <v>18</v>
      </c>
      <c r="S43" s="666">
        <f t="shared" si="12"/>
        <v>100</v>
      </c>
      <c r="T43" s="665" t="s">
        <v>18</v>
      </c>
      <c r="U43" s="666">
        <f t="shared" si="13"/>
        <v>100</v>
      </c>
      <c r="V43" s="665" t="s">
        <v>18</v>
      </c>
      <c r="W43" s="666">
        <f t="shared" si="14"/>
        <v>100</v>
      </c>
      <c r="X43" s="1263"/>
      <c r="Y43" s="3373"/>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8"/>
      <c r="N44" s="2438"/>
      <c r="O44" s="2438"/>
      <c r="P44" s="3371"/>
      <c r="Q44" s="530">
        <f t="shared" si="11"/>
        <v>111</v>
      </c>
      <c r="R44" s="662" t="s">
        <v>18</v>
      </c>
      <c r="S44" s="663">
        <f t="shared" si="12"/>
        <v>100</v>
      </c>
      <c r="T44" s="662" t="s">
        <v>18</v>
      </c>
      <c r="U44" s="663">
        <f t="shared" si="13"/>
        <v>100</v>
      </c>
      <c r="V44" s="662" t="s">
        <v>18</v>
      </c>
      <c r="W44" s="663">
        <f t="shared" si="14"/>
        <v>100</v>
      </c>
      <c r="X44" s="664"/>
      <c r="Y44" s="3373"/>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371"/>
      <c r="Q45" s="1261">
        <f t="shared" si="11"/>
        <v>111</v>
      </c>
      <c r="R45" s="665" t="s">
        <v>18</v>
      </c>
      <c r="S45" s="666">
        <f t="shared" si="12"/>
        <v>100</v>
      </c>
      <c r="T45" s="665" t="s">
        <v>18</v>
      </c>
      <c r="U45" s="666">
        <f t="shared" si="13"/>
        <v>100</v>
      </c>
      <c r="V45" s="665" t="s">
        <v>18</v>
      </c>
      <c r="W45" s="666">
        <f t="shared" si="14"/>
        <v>100</v>
      </c>
      <c r="X45" s="1263"/>
      <c r="Y45" s="3373"/>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372"/>
      <c r="Q46" s="1261">
        <f t="shared" si="11"/>
        <v>111</v>
      </c>
      <c r="R46" s="665" t="s">
        <v>17</v>
      </c>
      <c r="S46" s="666">
        <f t="shared" si="12"/>
        <v>100</v>
      </c>
      <c r="T46" s="665" t="s">
        <v>17</v>
      </c>
      <c r="U46" s="666">
        <f t="shared" si="13"/>
        <v>100</v>
      </c>
      <c r="V46" s="665" t="s">
        <v>17</v>
      </c>
      <c r="W46" s="666">
        <f t="shared" si="14"/>
        <v>100</v>
      </c>
      <c r="X46" s="1263"/>
      <c r="Y46" s="3374"/>
      <c r="Z46" s="1262">
        <f t="shared" si="18"/>
        <v>111</v>
      </c>
      <c r="AA46" s="1262">
        <f t="shared" si="15"/>
        <v>1</v>
      </c>
      <c r="AB46" s="1262">
        <f t="shared" si="16"/>
        <v>1</v>
      </c>
      <c r="AC46" s="1262">
        <f t="shared" si="17"/>
        <v>1</v>
      </c>
    </row>
    <row r="47" spans="1:29" ht="14.4">
      <c r="A47" s="416" t="s">
        <v>1706</v>
      </c>
      <c r="B47" s="417"/>
      <c r="C47" s="1079" t="s">
        <v>16</v>
      </c>
      <c r="D47" s="418"/>
      <c r="E47" s="419"/>
      <c r="F47" s="420"/>
      <c r="G47" s="421"/>
      <c r="H47" s="422"/>
      <c r="I47" s="419"/>
      <c r="J47" s="422"/>
      <c r="K47" s="1765"/>
      <c r="L47" s="2492"/>
      <c r="M47" s="2485"/>
      <c r="N47" s="2485"/>
      <c r="O47" s="2485"/>
      <c r="P47" s="3361" t="str">
        <f>A47</f>
        <v>成交单价（元/平方米）</v>
      </c>
      <c r="Q47" s="3361"/>
      <c r="R47" s="3362">
        <f>E47</f>
        <v>0</v>
      </c>
      <c r="S47" s="3362"/>
      <c r="T47" s="3362">
        <f>G47</f>
        <v>0</v>
      </c>
      <c r="U47" s="3362"/>
      <c r="V47" s="3362">
        <f>I47</f>
        <v>0</v>
      </c>
      <c r="W47" s="3362"/>
      <c r="X47" s="385"/>
      <c r="Y47" s="671"/>
      <c r="Z47" s="385"/>
      <c r="AA47" s="385"/>
      <c r="AB47" s="385"/>
      <c r="AC47" s="385"/>
    </row>
    <row r="48" spans="1:29" ht="15" thickBot="1">
      <c r="A48" s="423" t="s">
        <v>1707</v>
      </c>
      <c r="B48" s="424"/>
      <c r="C48" s="1080" t="e">
        <f>R49</f>
        <v>#DIV/0!</v>
      </c>
      <c r="D48" s="2139" t="s">
        <v>2135</v>
      </c>
      <c r="E48" s="1081" t="e">
        <f>R48</f>
        <v>#DIV/0!</v>
      </c>
      <c r="F48" s="2140"/>
      <c r="G48" s="1080" t="e">
        <f>T48</f>
        <v>#DIV/0!</v>
      </c>
      <c r="H48" s="2140"/>
      <c r="I48" s="1081" t="e">
        <f>V48</f>
        <v>#DIV/0!</v>
      </c>
      <c r="J48" s="2140"/>
      <c r="K48" s="2141">
        <f>F48+H48+J48</f>
        <v>0</v>
      </c>
      <c r="L48" s="2492"/>
      <c r="M48" s="2485"/>
      <c r="N48" s="2485"/>
      <c r="O48" s="2485"/>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1708</v>
      </c>
      <c r="B49" s="428"/>
      <c r="C49" s="1082" t="e">
        <f>R49</f>
        <v>#DIV/0!</v>
      </c>
      <c r="D49" s="351"/>
      <c r="E49" s="351"/>
      <c r="F49" s="351"/>
      <c r="G49" s="351"/>
      <c r="H49" s="351"/>
      <c r="I49" s="351"/>
      <c r="J49" s="351"/>
      <c r="K49" s="1766"/>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2.2" thickBot="1">
      <c r="A57" s="656" t="s">
        <v>1712</v>
      </c>
      <c r="B57" s="385"/>
      <c r="C57" s="657"/>
      <c r="D57" s="657"/>
      <c r="E57" s="657"/>
      <c r="F57" s="658"/>
      <c r="G57" s="658"/>
      <c r="H57" s="657"/>
      <c r="I57" s="657"/>
      <c r="J57" s="657"/>
      <c r="K57" s="885"/>
      <c r="L57" s="886"/>
      <c r="M57" s="884"/>
      <c r="N57" s="884"/>
      <c r="O57" s="884"/>
      <c r="P57" s="1769"/>
      <c r="Q57" s="439"/>
    </row>
    <row r="58" spans="1:29" s="442" customFormat="1" ht="14.4">
      <c r="A58" s="440" t="s">
        <v>1713</v>
      </c>
      <c r="B58" s="441"/>
      <c r="C58" s="1103" t="str">
        <f>YEAR(C7)&amp;"-"&amp;MONTH(C7)</f>
        <v>2025-4</v>
      </c>
      <c r="D58" s="1102">
        <f>EDATE(C58,-1)</f>
        <v>45717</v>
      </c>
      <c r="E58" s="1102">
        <f>EDATE(D58,-1)</f>
        <v>45689</v>
      </c>
      <c r="F58" s="1102">
        <f t="shared" ref="F58:O58" si="19">EDATE(E58,-1)</f>
        <v>45658</v>
      </c>
      <c r="G58" s="1102">
        <f t="shared" si="19"/>
        <v>45627</v>
      </c>
      <c r="H58" s="1102">
        <f t="shared" si="19"/>
        <v>45597</v>
      </c>
      <c r="I58" s="1102">
        <f t="shared" si="19"/>
        <v>45566</v>
      </c>
      <c r="J58" s="1102">
        <f t="shared" si="19"/>
        <v>45536</v>
      </c>
      <c r="K58" s="1102">
        <f t="shared" si="19"/>
        <v>45505</v>
      </c>
      <c r="L58" s="1102">
        <f t="shared" si="19"/>
        <v>45474</v>
      </c>
      <c r="M58" s="1102">
        <f t="shared" si="19"/>
        <v>45444</v>
      </c>
      <c r="N58" s="1102">
        <f t="shared" si="19"/>
        <v>45413</v>
      </c>
      <c r="O58" s="1102">
        <f t="shared" si="19"/>
        <v>45383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1714</v>
      </c>
      <c r="B60" s="450"/>
      <c r="C60" s="451"/>
      <c r="D60" s="452"/>
      <c r="E60" s="452"/>
      <c r="F60" s="452"/>
      <c r="G60" s="452"/>
      <c r="H60" s="452"/>
      <c r="I60" s="452"/>
      <c r="J60" s="452"/>
      <c r="K60" s="452"/>
      <c r="L60" s="452"/>
      <c r="M60" s="453"/>
      <c r="N60" s="452"/>
      <c r="O60" s="453"/>
      <c r="P60" s="1771"/>
      <c r="Q60" s="439"/>
    </row>
    <row r="61" spans="1:29" s="102" customFormat="1" ht="14.4">
      <c r="A61" s="455" t="s">
        <v>1715</v>
      </c>
      <c r="B61" s="444"/>
      <c r="C61" s="456" t="s">
        <v>1716</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1717</v>
      </c>
      <c r="B63" s="460" t="s">
        <v>1683</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1686</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1258</v>
      </c>
      <c r="C82" s="470" t="s">
        <v>1726</v>
      </c>
      <c r="D82" s="470" t="s">
        <v>1727</v>
      </c>
      <c r="E82" s="470" t="s">
        <v>1728</v>
      </c>
      <c r="F82" s="470" t="s">
        <v>1729</v>
      </c>
      <c r="G82" s="470" t="s">
        <v>1730</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1732</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1733</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1692</v>
      </c>
      <c r="B100" s="460" t="s">
        <v>1734</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1736</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1737</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1738</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1739</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1740</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1741</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1703</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1742</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2">
        <v>6</v>
      </c>
      <c r="C139" s="813">
        <v>96</v>
      </c>
      <c r="D139" s="1790" t="s">
        <v>1753</v>
      </c>
      <c r="E139" s="814">
        <v>100</v>
      </c>
      <c r="F139" s="815">
        <v>102.5</v>
      </c>
      <c r="G139" s="1790" t="s">
        <v>1753</v>
      </c>
      <c r="H139" s="816">
        <v>105</v>
      </c>
      <c r="I139" s="1791" t="s">
        <v>1754</v>
      </c>
      <c r="J139" s="813">
        <v>20</v>
      </c>
      <c r="K139" s="817">
        <f>C145/(J139-2)</f>
        <v>4.0555555555555553E-3</v>
      </c>
    </row>
    <row r="140" spans="1:17" ht="15">
      <c r="B140" s="818">
        <v>5</v>
      </c>
      <c r="C140" s="819">
        <v>100</v>
      </c>
      <c r="D140" s="819"/>
      <c r="E140" s="820"/>
      <c r="F140" s="821">
        <v>102</v>
      </c>
      <c r="G140" s="819"/>
      <c r="H140" s="822"/>
      <c r="I140" s="1792" t="s">
        <v>1755</v>
      </c>
      <c r="J140" s="263">
        <f>ROUNDUP((J139-1)/2,0)</f>
        <v>10</v>
      </c>
      <c r="K140" s="823">
        <v>100</v>
      </c>
    </row>
    <row r="141" spans="1:17" ht="15">
      <c r="B141" s="818">
        <v>4</v>
      </c>
      <c r="C141" s="819">
        <v>102</v>
      </c>
      <c r="D141" s="819"/>
      <c r="E141" s="820"/>
      <c r="F141" s="821">
        <v>101.5</v>
      </c>
      <c r="G141" s="819"/>
      <c r="H141" s="822"/>
      <c r="I141" s="1792" t="s">
        <v>1756</v>
      </c>
      <c r="J141" s="263">
        <v>1</v>
      </c>
      <c r="K141" s="824">
        <f>ROUND(100+(J141-J140)*K139*100,1)</f>
        <v>96.4</v>
      </c>
    </row>
    <row r="142" spans="1:17" ht="15">
      <c r="B142" s="818">
        <v>3</v>
      </c>
      <c r="C142" s="819">
        <v>103</v>
      </c>
      <c r="D142" s="819"/>
      <c r="E142" s="820"/>
      <c r="F142" s="821">
        <v>101</v>
      </c>
      <c r="G142" s="819"/>
      <c r="H142" s="822"/>
      <c r="I142" s="1792" t="s">
        <v>1757</v>
      </c>
      <c r="J142" s="263">
        <f>J139</f>
        <v>20</v>
      </c>
      <c r="K142" s="825">
        <v>95</v>
      </c>
    </row>
    <row r="143" spans="1:17" ht="15">
      <c r="B143" s="818">
        <v>2</v>
      </c>
      <c r="C143" s="819">
        <v>100</v>
      </c>
      <c r="D143" s="819"/>
      <c r="E143" s="820"/>
      <c r="F143" s="821">
        <v>100.5</v>
      </c>
      <c r="G143" s="819"/>
      <c r="H143" s="822"/>
      <c r="I143" s="1792" t="s">
        <v>1758</v>
      </c>
      <c r="J143" s="819">
        <v>15</v>
      </c>
      <c r="K143" s="824">
        <f>ROUND(100+(J143-J140)*K139*100,1)</f>
        <v>102</v>
      </c>
    </row>
    <row r="144" spans="1:17" ht="15">
      <c r="B144" s="818">
        <v>1</v>
      </c>
      <c r="C144" s="819">
        <v>98</v>
      </c>
      <c r="D144" s="1793" t="s">
        <v>1759</v>
      </c>
      <c r="E144" s="820">
        <v>102</v>
      </c>
      <c r="F144" s="826">
        <v>100</v>
      </c>
      <c r="G144" s="1793" t="s">
        <v>1759</v>
      </c>
      <c r="H144" s="822">
        <v>105</v>
      </c>
      <c r="I144" s="1792" t="s">
        <v>1758</v>
      </c>
      <c r="J144" s="819">
        <v>18</v>
      </c>
      <c r="K144" s="824">
        <f>ROUND(100+(J144-J140)*K139*100,1)</f>
        <v>103.2</v>
      </c>
    </row>
    <row r="145" spans="2:11" ht="16.2" thickBot="1">
      <c r="B145" s="1794" t="s">
        <v>1760</v>
      </c>
      <c r="C145" s="827">
        <f>ROUND(MAX(C139:C144)/MIN(C139:C144)-1,3)</f>
        <v>7.2999999999999995E-2</v>
      </c>
      <c r="D145" s="828"/>
      <c r="E145" s="828"/>
      <c r="F145" s="1795" t="s">
        <v>1761</v>
      </c>
      <c r="G145" s="1796"/>
      <c r="H145" s="1797"/>
      <c r="I145" s="1798" t="s">
        <v>1758</v>
      </c>
      <c r="J145" s="829">
        <v>8</v>
      </c>
      <c r="K145" s="830">
        <f>ROUND(100+(J145-J140)*K139*100,1)</f>
        <v>99.2</v>
      </c>
    </row>
    <row r="147" spans="2:11" ht="14.4">
      <c r="B147" s="1779" t="s">
        <v>1762</v>
      </c>
    </row>
    <row r="148" spans="2:11" ht="14.4">
      <c r="B148" s="177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732" t="s">
        <v>1764</v>
      </c>
      <c r="C1" s="1153" t="s">
        <v>1660</v>
      </c>
      <c r="D1" s="1140"/>
      <c r="E1" s="3122"/>
      <c r="F1" s="1733"/>
      <c r="G1" s="1150" t="s">
        <v>1765</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1460</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1461</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2" customFormat="1" ht="28.5" customHeight="1" thickBot="1">
      <c r="A3" s="195" t="s">
        <v>1462</v>
      </c>
      <c r="B3" s="536">
        <f>IF(C2="——",C49,ROUND(B2*10000/D3,0))</f>
        <v>0</v>
      </c>
      <c r="C3" s="344" t="s">
        <v>1766</v>
      </c>
      <c r="D3" s="343">
        <f>IF(D1="",'数据-汇总表'!E3,SUMIF('数据-汇总表'!$C19:$C33,D1,'数据-汇总表'!$E19:$E33))</f>
        <v>36780.86</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466" t="s">
        <v>1773</v>
      </c>
      <c r="Q4" s="3467"/>
      <c r="R4" s="3470" t="s">
        <v>1769</v>
      </c>
      <c r="S4" s="3471"/>
      <c r="T4" s="3470" t="s">
        <v>1770</v>
      </c>
      <c r="U4" s="3471"/>
      <c r="V4" s="3362" t="s">
        <v>1771</v>
      </c>
      <c r="W4" s="3362"/>
      <c r="X4" s="1263"/>
      <c r="Y4" s="3470" t="s">
        <v>1773</v>
      </c>
      <c r="Z4" s="3471"/>
      <c r="AA4" s="3465" t="s">
        <v>1769</v>
      </c>
      <c r="AB4" s="3362" t="s">
        <v>1770</v>
      </c>
      <c r="AC4" s="3465" t="s">
        <v>1771</v>
      </c>
    </row>
    <row r="5" spans="1:29">
      <c r="A5" s="348"/>
      <c r="B5" s="349"/>
      <c r="C5" s="3403" t="s">
        <v>1671</v>
      </c>
      <c r="D5" s="3398"/>
      <c r="E5" s="3472" t="s">
        <v>1672</v>
      </c>
      <c r="F5" s="3410"/>
      <c r="G5" s="3403" t="s">
        <v>1673</v>
      </c>
      <c r="H5" s="3398"/>
      <c r="I5" s="3403" t="s">
        <v>1674</v>
      </c>
      <c r="J5" s="3398"/>
      <c r="K5" s="537"/>
      <c r="L5" s="2484"/>
      <c r="M5" s="2485"/>
      <c r="N5" s="2485"/>
      <c r="O5" s="2485"/>
      <c r="P5" s="3468"/>
      <c r="Q5" s="3385"/>
      <c r="R5" s="3390"/>
      <c r="S5" s="3391"/>
      <c r="T5" s="3390"/>
      <c r="U5" s="3391"/>
      <c r="V5" s="3362"/>
      <c r="W5" s="3362"/>
      <c r="X5" s="1263"/>
      <c r="Y5" s="3390"/>
      <c r="Z5" s="3391"/>
      <c r="AA5" s="3407"/>
      <c r="AB5" s="3362"/>
      <c r="AC5" s="3407"/>
    </row>
    <row r="6" spans="1:29" ht="15" thickBot="1">
      <c r="A6" s="350"/>
      <c r="B6" s="351"/>
      <c r="C6" s="3395" t="s">
        <v>1675</v>
      </c>
      <c r="D6" s="3396"/>
      <c r="E6" s="3404" t="s">
        <v>1675</v>
      </c>
      <c r="F6" s="3405"/>
      <c r="G6" s="3395" t="s">
        <v>1675</v>
      </c>
      <c r="H6" s="3396"/>
      <c r="I6" s="3395" t="s">
        <v>1675</v>
      </c>
      <c r="J6" s="3396"/>
      <c r="K6" s="537" t="s">
        <v>1676</v>
      </c>
      <c r="L6" s="2484"/>
      <c r="M6" s="2485"/>
      <c r="N6" s="2485"/>
      <c r="O6" s="2485"/>
      <c r="P6" s="3469"/>
      <c r="Q6" s="3387"/>
      <c r="R6" s="3390"/>
      <c r="S6" s="3391"/>
      <c r="T6" s="3392"/>
      <c r="U6" s="3393"/>
      <c r="V6" s="3362"/>
      <c r="W6" s="3362"/>
      <c r="X6" s="1263"/>
      <c r="Y6" s="3392"/>
      <c r="Z6" s="3393"/>
      <c r="AA6" s="3408"/>
      <c r="AB6" s="3362"/>
      <c r="AC6" s="3408"/>
    </row>
    <row r="7" spans="1:29" s="102" customFormat="1" ht="15" thickBot="1">
      <c r="A7" s="352" t="s">
        <v>1677</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1" t="s">
        <v>1678</v>
      </c>
      <c r="Q7" s="3402"/>
      <c r="R7" s="662" t="s">
        <v>14</v>
      </c>
      <c r="S7" s="663">
        <f t="shared" ref="S7:S15" si="0">F7</f>
        <v>0</v>
      </c>
      <c r="T7" s="662" t="s">
        <v>14</v>
      </c>
      <c r="U7" s="663">
        <f t="shared" ref="U7:U15" si="1">H7</f>
        <v>0</v>
      </c>
      <c r="V7" s="662" t="s">
        <v>14</v>
      </c>
      <c r="W7" s="663">
        <f t="shared" ref="W7:W15" si="2">J7</f>
        <v>0</v>
      </c>
      <c r="X7" s="664"/>
      <c r="Y7" s="3401" t="s">
        <v>1678</v>
      </c>
      <c r="Z7" s="3400"/>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1" t="s">
        <v>1681</v>
      </c>
      <c r="Q8" s="3400"/>
      <c r="R8" s="662" t="s">
        <v>14</v>
      </c>
      <c r="S8" s="663">
        <f t="shared" si="0"/>
        <v>100</v>
      </c>
      <c r="T8" s="662" t="s">
        <v>14</v>
      </c>
      <c r="U8" s="663">
        <f t="shared" si="1"/>
        <v>100</v>
      </c>
      <c r="V8" s="662" t="s">
        <v>14</v>
      </c>
      <c r="W8" s="663">
        <f t="shared" si="2"/>
        <v>100</v>
      </c>
      <c r="X8" s="664"/>
      <c r="Y8" s="3401" t="s">
        <v>1681</v>
      </c>
      <c r="Z8" s="3400"/>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60" t="s">
        <v>1684</v>
      </c>
      <c r="Q9" s="530" t="str">
        <f t="shared" ref="Q9:Q15" si="6">B9</f>
        <v>用途</v>
      </c>
      <c r="R9" s="662" t="s">
        <v>14</v>
      </c>
      <c r="S9" s="663">
        <f t="shared" si="0"/>
        <v>100</v>
      </c>
      <c r="T9" s="662" t="s">
        <v>14</v>
      </c>
      <c r="U9" s="663">
        <f t="shared" si="1"/>
        <v>100</v>
      </c>
      <c r="V9" s="662" t="s">
        <v>14</v>
      </c>
      <c r="W9" s="663">
        <f t="shared" si="2"/>
        <v>100</v>
      </c>
      <c r="X9" s="664"/>
      <c r="Y9" s="3264" t="s">
        <v>1685</v>
      </c>
      <c r="Z9" s="50" t="str">
        <f t="shared" ref="Z9:Z15" si="7">Q9</f>
        <v>用途</v>
      </c>
      <c r="AA9" s="50">
        <f t="shared" si="3"/>
        <v>1</v>
      </c>
      <c r="AB9" s="50">
        <f t="shared" si="4"/>
        <v>1</v>
      </c>
      <c r="AC9" s="50">
        <f t="shared" si="5"/>
        <v>1</v>
      </c>
    </row>
    <row r="10" spans="1:29" s="366" customFormat="1" ht="28.8">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0"/>
      <c r="Q10" s="530" t="str">
        <f t="shared" si="6"/>
        <v>土地使用年限（年）</v>
      </c>
      <c r="R10" s="662" t="s">
        <v>14</v>
      </c>
      <c r="S10" s="663">
        <f t="shared" si="0"/>
        <v>100</v>
      </c>
      <c r="T10" s="662" t="s">
        <v>14</v>
      </c>
      <c r="U10" s="663">
        <f t="shared" si="1"/>
        <v>100</v>
      </c>
      <c r="V10" s="662" t="s">
        <v>14</v>
      </c>
      <c r="W10" s="663">
        <f t="shared" si="2"/>
        <v>100</v>
      </c>
      <c r="X10" s="664"/>
      <c r="Y10" s="3264"/>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0"/>
      <c r="Q11" s="530" t="str">
        <f t="shared" si="6"/>
        <v>容积率</v>
      </c>
      <c r="R11" s="662" t="s">
        <v>14</v>
      </c>
      <c r="S11" s="663" t="e">
        <f t="shared" si="0"/>
        <v>#N/A</v>
      </c>
      <c r="T11" s="662" t="s">
        <v>14</v>
      </c>
      <c r="U11" s="663" t="e">
        <f t="shared" si="1"/>
        <v>#N/A</v>
      </c>
      <c r="V11" s="662" t="s">
        <v>14</v>
      </c>
      <c r="W11" s="663" t="e">
        <f t="shared" si="2"/>
        <v>#N/A</v>
      </c>
      <c r="X11" s="664"/>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0"/>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0"/>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0"/>
      <c r="Q14" s="530">
        <f t="shared" si="6"/>
        <v>111</v>
      </c>
      <c r="R14" s="662" t="s">
        <v>14</v>
      </c>
      <c r="S14" s="663">
        <f t="shared" si="0"/>
        <v>100</v>
      </c>
      <c r="T14" s="662" t="s">
        <v>14</v>
      </c>
      <c r="U14" s="663">
        <f t="shared" si="1"/>
        <v>100</v>
      </c>
      <c r="V14" s="662" t="s">
        <v>14</v>
      </c>
      <c r="W14" s="663">
        <f t="shared" si="2"/>
        <v>100</v>
      </c>
      <c r="X14" s="664"/>
      <c r="Y14" s="3264"/>
      <c r="Z14" s="50">
        <f t="shared" si="7"/>
        <v>111</v>
      </c>
      <c r="AA14" s="50">
        <f t="shared" si="3"/>
        <v>1</v>
      </c>
      <c r="AB14" s="50">
        <f t="shared" si="4"/>
        <v>1</v>
      </c>
      <c r="AC14" s="50">
        <f t="shared" si="5"/>
        <v>1</v>
      </c>
    </row>
    <row r="15" spans="1:29" ht="69">
      <c r="A15" s="379" t="s">
        <v>1688</v>
      </c>
      <c r="B15" s="58" t="s">
        <v>1775</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6" t="s">
        <v>1689</v>
      </c>
      <c r="Q15" s="1261" t="str">
        <f t="shared" si="6"/>
        <v>商业繁华度</v>
      </c>
      <c r="R15" s="665" t="s">
        <v>14</v>
      </c>
      <c r="S15" s="666">
        <f t="shared" si="0"/>
        <v>100</v>
      </c>
      <c r="T15" s="665" t="s">
        <v>14</v>
      </c>
      <c r="U15" s="666">
        <f t="shared" si="1"/>
        <v>100</v>
      </c>
      <c r="V15" s="665" t="s">
        <v>14</v>
      </c>
      <c r="W15" s="666">
        <f t="shared" si="2"/>
        <v>100</v>
      </c>
      <c r="X15" s="1263"/>
      <c r="Y15" s="3368" t="s">
        <v>1689</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0"/>
      <c r="M16" s="2485"/>
      <c r="N16" s="2485"/>
      <c r="O16" s="2485"/>
      <c r="P16" s="3367"/>
      <c r="Q16" s="1261"/>
      <c r="R16" s="665"/>
      <c r="S16" s="666"/>
      <c r="T16" s="665"/>
      <c r="U16" s="666"/>
      <c r="V16" s="665"/>
      <c r="W16" s="666"/>
      <c r="X16" s="1263"/>
      <c r="Y16" s="3369"/>
      <c r="Z16" s="1262"/>
      <c r="AA16" s="1262">
        <v>1</v>
      </c>
      <c r="AB16" s="1262">
        <v>1</v>
      </c>
      <c r="AC16" s="1262">
        <v>1</v>
      </c>
    </row>
    <row r="17" spans="1:29" ht="82.8">
      <c r="A17" s="367"/>
      <c r="B17" s="390" t="s">
        <v>1257</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7"/>
      <c r="Q17" s="1261" t="str">
        <f>B17</f>
        <v>交通便捷度</v>
      </c>
      <c r="R17" s="665" t="s">
        <v>14</v>
      </c>
      <c r="S17" s="666">
        <f>F17</f>
        <v>100</v>
      </c>
      <c r="T17" s="665" t="s">
        <v>14</v>
      </c>
      <c r="U17" s="666">
        <f>H17</f>
        <v>100</v>
      </c>
      <c r="V17" s="665" t="s">
        <v>14</v>
      </c>
      <c r="W17" s="666">
        <f>J17</f>
        <v>100</v>
      </c>
      <c r="X17" s="1263"/>
      <c r="Y17" s="336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0"/>
      <c r="M18" s="2485"/>
      <c r="N18" s="2485"/>
      <c r="O18" s="2485"/>
      <c r="P18" s="3367"/>
      <c r="Q18" s="1261"/>
      <c r="R18" s="665"/>
      <c r="S18" s="666"/>
      <c r="T18" s="665"/>
      <c r="U18" s="666"/>
      <c r="V18" s="665"/>
      <c r="W18" s="666"/>
      <c r="X18" s="1263"/>
      <c r="Y18" s="3369"/>
      <c r="Z18" s="1262"/>
      <c r="AA18" s="1262">
        <v>1</v>
      </c>
      <c r="AB18" s="1262">
        <v>1</v>
      </c>
      <c r="AC18" s="1262">
        <v>1</v>
      </c>
    </row>
    <row r="19" spans="1:29" ht="41.4">
      <c r="A19" s="367"/>
      <c r="B19" s="390" t="s">
        <v>1776</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7"/>
      <c r="Q19" s="1261" t="str">
        <f>B19</f>
        <v>公共配套设施</v>
      </c>
      <c r="R19" s="665" t="s">
        <v>14</v>
      </c>
      <c r="S19" s="666">
        <f>F19</f>
        <v>100</v>
      </c>
      <c r="T19" s="665" t="s">
        <v>14</v>
      </c>
      <c r="U19" s="666">
        <f>H19</f>
        <v>100</v>
      </c>
      <c r="V19" s="665" t="s">
        <v>14</v>
      </c>
      <c r="W19" s="666">
        <f>J19</f>
        <v>100</v>
      </c>
      <c r="X19" s="1263"/>
      <c r="Y19" s="336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0"/>
      <c r="M20" s="2485"/>
      <c r="N20" s="2485"/>
      <c r="O20" s="2485"/>
      <c r="P20" s="3367"/>
      <c r="Q20" s="1261"/>
      <c r="R20" s="665"/>
      <c r="S20" s="666"/>
      <c r="T20" s="665"/>
      <c r="U20" s="666"/>
      <c r="V20" s="665"/>
      <c r="W20" s="666"/>
      <c r="X20" s="1263"/>
      <c r="Y20" s="3369"/>
      <c r="Z20" s="1262"/>
      <c r="AA20" s="1262">
        <v>1</v>
      </c>
      <c r="AB20" s="1262">
        <v>1</v>
      </c>
      <c r="AC20" s="1262">
        <v>1</v>
      </c>
    </row>
    <row r="21" spans="1:29" ht="27.6">
      <c r="A21" s="367"/>
      <c r="B21" s="586" t="s">
        <v>1777</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7"/>
      <c r="Q21" s="1261" t="str">
        <f>B21</f>
        <v>基础设施水平</v>
      </c>
      <c r="R21" s="665" t="s">
        <v>14</v>
      </c>
      <c r="S21" s="666">
        <f>F21</f>
        <v>100</v>
      </c>
      <c r="T21" s="665" t="s">
        <v>14</v>
      </c>
      <c r="U21" s="666">
        <f>H21</f>
        <v>100</v>
      </c>
      <c r="V21" s="665" t="s">
        <v>14</v>
      </c>
      <c r="W21" s="666">
        <f>J21</f>
        <v>100</v>
      </c>
      <c r="X21" s="1263"/>
      <c r="Y21" s="336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0"/>
      <c r="M22" s="2485"/>
      <c r="N22" s="2485"/>
      <c r="O22" s="2485"/>
      <c r="P22" s="3367"/>
      <c r="Q22" s="1261"/>
      <c r="R22" s="665"/>
      <c r="S22" s="666"/>
      <c r="T22" s="665"/>
      <c r="U22" s="666"/>
      <c r="V22" s="665"/>
      <c r="W22" s="666"/>
      <c r="X22" s="1263"/>
      <c r="Y22" s="3369"/>
      <c r="Z22" s="1262"/>
      <c r="AA22" s="1262">
        <v>1</v>
      </c>
      <c r="AB22" s="1262">
        <v>1</v>
      </c>
      <c r="AC22" s="1262">
        <v>1</v>
      </c>
    </row>
    <row r="23" spans="1:29" ht="55.2">
      <c r="A23" s="367"/>
      <c r="B23" s="390" t="s">
        <v>1259</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7"/>
      <c r="Q23" s="1261" t="str">
        <f>B23</f>
        <v>自然及人文环境</v>
      </c>
      <c r="R23" s="665" t="s">
        <v>14</v>
      </c>
      <c r="S23" s="666">
        <f>F23</f>
        <v>100</v>
      </c>
      <c r="T23" s="665" t="s">
        <v>14</v>
      </c>
      <c r="U23" s="666">
        <f>H23</f>
        <v>100</v>
      </c>
      <c r="V23" s="665" t="s">
        <v>14</v>
      </c>
      <c r="W23" s="666">
        <f>J23</f>
        <v>100</v>
      </c>
      <c r="X23" s="1263"/>
      <c r="Y23" s="3369"/>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0"/>
      <c r="M24" s="2485"/>
      <c r="N24" s="2485"/>
      <c r="O24" s="2485"/>
      <c r="P24" s="3367"/>
      <c r="Q24" s="1261"/>
      <c r="R24" s="665"/>
      <c r="S24" s="666"/>
      <c r="T24" s="665"/>
      <c r="U24" s="666"/>
      <c r="V24" s="665"/>
      <c r="W24" s="666"/>
      <c r="X24" s="1263"/>
      <c r="Y24" s="3369"/>
      <c r="Z24" s="1262"/>
      <c r="AA24" s="1262">
        <v>1</v>
      </c>
      <c r="AB24" s="1262">
        <v>1</v>
      </c>
      <c r="AC24" s="1262">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7"/>
      <c r="Q25" s="1261" t="str">
        <f t="shared" ref="Q25:Q46" si="11">B25</f>
        <v>临街状况</v>
      </c>
      <c r="R25" s="665" t="s">
        <v>14</v>
      </c>
      <c r="S25" s="666">
        <f>F25</f>
        <v>100</v>
      </c>
      <c r="T25" s="665" t="s">
        <v>14</v>
      </c>
      <c r="U25" s="666">
        <f>H25</f>
        <v>100</v>
      </c>
      <c r="V25" s="665" t="s">
        <v>14</v>
      </c>
      <c r="W25" s="666">
        <f>J25</f>
        <v>100</v>
      </c>
      <c r="X25" s="1263"/>
      <c r="Y25" s="3369"/>
      <c r="Z25" s="1262" t="str">
        <f>Q25</f>
        <v>临街状况</v>
      </c>
      <c r="AA25" s="1262">
        <f t="shared" si="3"/>
        <v>1</v>
      </c>
      <c r="AB25" s="1262">
        <f t="shared" si="4"/>
        <v>1</v>
      </c>
      <c r="AC25" s="1262">
        <f t="shared" si="5"/>
        <v>1</v>
      </c>
    </row>
    <row r="26" spans="1:29" ht="15">
      <c r="A26" s="367"/>
      <c r="B26" s="1064" t="s">
        <v>1779</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7"/>
      <c r="Q26" s="1261" t="str">
        <f t="shared" si="11"/>
        <v>平面位置/可视性</v>
      </c>
      <c r="R26" s="665" t="s">
        <v>14</v>
      </c>
      <c r="S26" s="666">
        <f>F26</f>
        <v>100</v>
      </c>
      <c r="T26" s="665" t="s">
        <v>14</v>
      </c>
      <c r="U26" s="666">
        <f>H26</f>
        <v>100</v>
      </c>
      <c r="V26" s="665" t="s">
        <v>14</v>
      </c>
      <c r="W26" s="666">
        <f>J26</f>
        <v>100</v>
      </c>
      <c r="X26" s="1263"/>
      <c r="Y26" s="3369"/>
      <c r="Z26" s="1262" t="str">
        <f>Q26</f>
        <v>平面位置/可视性</v>
      </c>
      <c r="AA26" s="1262">
        <f t="shared" si="3"/>
        <v>1</v>
      </c>
      <c r="AB26" s="1262">
        <f t="shared" si="4"/>
        <v>1</v>
      </c>
      <c r="AC26" s="1262">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8"/>
      <c r="N27" s="2438"/>
      <c r="O27" s="2438"/>
      <c r="P27" s="3367"/>
      <c r="Q27" s="530" t="str">
        <f t="shared" si="11"/>
        <v>人流量</v>
      </c>
      <c r="R27" s="662" t="s">
        <v>14</v>
      </c>
      <c r="S27" s="663">
        <f>F27</f>
        <v>100</v>
      </c>
      <c r="T27" s="662" t="s">
        <v>14</v>
      </c>
      <c r="U27" s="663">
        <f>H27</f>
        <v>100</v>
      </c>
      <c r="V27" s="662" t="s">
        <v>14</v>
      </c>
      <c r="W27" s="663">
        <f>J27</f>
        <v>100</v>
      </c>
      <c r="X27" s="664"/>
      <c r="Y27" s="3369"/>
      <c r="Z27" s="50" t="str">
        <f>Q27</f>
        <v>人流量</v>
      </c>
      <c r="AA27" s="1262">
        <f>D27/F27</f>
        <v>1</v>
      </c>
      <c r="AB27" s="1262">
        <f>D27/H27</f>
        <v>1</v>
      </c>
      <c r="AC27" s="1262">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7"/>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69"/>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7"/>
      <c r="Q29" s="1261">
        <f t="shared" si="11"/>
        <v>111</v>
      </c>
      <c r="R29" s="665" t="s">
        <v>14</v>
      </c>
      <c r="S29" s="666">
        <f t="shared" si="12"/>
        <v>100</v>
      </c>
      <c r="T29" s="665" t="s">
        <v>14</v>
      </c>
      <c r="U29" s="666">
        <f t="shared" si="13"/>
        <v>100</v>
      </c>
      <c r="V29" s="665" t="s">
        <v>14</v>
      </c>
      <c r="W29" s="666">
        <f t="shared" si="14"/>
        <v>100</v>
      </c>
      <c r="X29" s="1263"/>
      <c r="Y29" s="3369"/>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7"/>
      <c r="Q30" s="1261">
        <f t="shared" si="11"/>
        <v>111</v>
      </c>
      <c r="R30" s="665" t="s">
        <v>14</v>
      </c>
      <c r="S30" s="666">
        <f t="shared" si="12"/>
        <v>100</v>
      </c>
      <c r="T30" s="665" t="s">
        <v>14</v>
      </c>
      <c r="U30" s="666">
        <f t="shared" si="13"/>
        <v>100</v>
      </c>
      <c r="V30" s="665" t="s">
        <v>14</v>
      </c>
      <c r="W30" s="666">
        <f t="shared" si="14"/>
        <v>100</v>
      </c>
      <c r="X30" s="1263"/>
      <c r="Y30" s="3369"/>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7"/>
      <c r="Q31" s="1261">
        <f t="shared" si="11"/>
        <v>111</v>
      </c>
      <c r="R31" s="665" t="s">
        <v>14</v>
      </c>
      <c r="S31" s="666">
        <f t="shared" si="12"/>
        <v>100</v>
      </c>
      <c r="T31" s="665" t="s">
        <v>14</v>
      </c>
      <c r="U31" s="666">
        <f t="shared" si="13"/>
        <v>100</v>
      </c>
      <c r="V31" s="665" t="s">
        <v>14</v>
      </c>
      <c r="W31" s="666">
        <f t="shared" si="14"/>
        <v>100</v>
      </c>
      <c r="X31" s="1263"/>
      <c r="Y31" s="3369"/>
      <c r="Z31" s="1262">
        <f t="shared" si="15"/>
        <v>111</v>
      </c>
      <c r="AA31" s="1262">
        <f t="shared" si="3"/>
        <v>1</v>
      </c>
      <c r="AB31" s="1262">
        <f t="shared" si="4"/>
        <v>1</v>
      </c>
      <c r="AC31" s="1262">
        <f t="shared" si="5"/>
        <v>1</v>
      </c>
    </row>
    <row r="32" spans="1:29" ht="15">
      <c r="A32" s="379" t="s">
        <v>1692</v>
      </c>
      <c r="B32" s="60" t="s">
        <v>1782</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0"/>
      <c r="M32" s="2485"/>
      <c r="N32" s="2485"/>
      <c r="O32" s="2485"/>
      <c r="P32" s="3370" t="s">
        <v>1694</v>
      </c>
      <c r="Q32" s="1261" t="str">
        <f t="shared" si="11"/>
        <v>商业类型</v>
      </c>
      <c r="R32" s="665" t="s">
        <v>14</v>
      </c>
      <c r="S32" s="666">
        <f t="shared" si="12"/>
        <v>100</v>
      </c>
      <c r="T32" s="665" t="s">
        <v>14</v>
      </c>
      <c r="U32" s="666">
        <f t="shared" si="13"/>
        <v>100</v>
      </c>
      <c r="V32" s="665" t="s">
        <v>14</v>
      </c>
      <c r="W32" s="666">
        <f t="shared" si="14"/>
        <v>100</v>
      </c>
      <c r="X32" s="1263"/>
      <c r="Y32" s="3373" t="s">
        <v>1694</v>
      </c>
      <c r="Z32" s="1262" t="str">
        <f t="shared" si="15"/>
        <v>商业类型</v>
      </c>
      <c r="AA32" s="1262">
        <f t="shared" si="3"/>
        <v>1</v>
      </c>
      <c r="AB32" s="1262">
        <f t="shared" si="4"/>
        <v>1</v>
      </c>
      <c r="AC32" s="1262">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71"/>
      <c r="Q33" s="531" t="str">
        <f t="shared" si="11"/>
        <v>项目建筑规模</v>
      </c>
      <c r="R33" s="667" t="s">
        <v>14</v>
      </c>
      <c r="S33" s="668" t="e">
        <f t="shared" si="12"/>
        <v>#N/A</v>
      </c>
      <c r="T33" s="667" t="s">
        <v>14</v>
      </c>
      <c r="U33" s="668" t="e">
        <f t="shared" si="13"/>
        <v>#N/A</v>
      </c>
      <c r="V33" s="667" t="s">
        <v>14</v>
      </c>
      <c r="W33" s="668" t="e">
        <f t="shared" si="14"/>
        <v>#N/A</v>
      </c>
      <c r="X33" s="669"/>
      <c r="Y33" s="3373"/>
      <c r="Z33" s="670" t="str">
        <f t="shared" si="15"/>
        <v>项目建筑规模</v>
      </c>
      <c r="AA33" s="1262" t="e">
        <f t="shared" si="3"/>
        <v>#N/A</v>
      </c>
      <c r="AB33" s="1262" t="e">
        <f t="shared" si="4"/>
        <v>#N/A</v>
      </c>
      <c r="AC33" s="1262"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71"/>
      <c r="Q34" s="1261" t="str">
        <f t="shared" si="11"/>
        <v>建筑结构</v>
      </c>
      <c r="R34" s="665" t="s">
        <v>14</v>
      </c>
      <c r="S34" s="666">
        <f t="shared" si="12"/>
        <v>100</v>
      </c>
      <c r="T34" s="665" t="s">
        <v>14</v>
      </c>
      <c r="U34" s="666">
        <f t="shared" si="13"/>
        <v>100</v>
      </c>
      <c r="V34" s="665" t="s">
        <v>14</v>
      </c>
      <c r="W34" s="666">
        <f t="shared" si="14"/>
        <v>100</v>
      </c>
      <c r="X34" s="1263"/>
      <c r="Y34" s="3373"/>
      <c r="Z34" s="1262" t="str">
        <f t="shared" si="15"/>
        <v>建筑结构</v>
      </c>
      <c r="AA34" s="1262">
        <f t="shared" si="3"/>
        <v>1</v>
      </c>
      <c r="AB34" s="1262">
        <f t="shared" si="4"/>
        <v>1</v>
      </c>
      <c r="AC34" s="1262">
        <f t="shared" si="5"/>
        <v>1</v>
      </c>
    </row>
    <row r="35" spans="1:29" ht="15">
      <c r="A35" s="409"/>
      <c r="B35" s="364" t="s">
        <v>1783</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0"/>
      <c r="M35" s="2485"/>
      <c r="N35" s="2485"/>
      <c r="O35" s="2485"/>
      <c r="P35" s="3371"/>
      <c r="Q35" s="1261" t="str">
        <f t="shared" si="11"/>
        <v>公共部分装修</v>
      </c>
      <c r="R35" s="665" t="s">
        <v>14</v>
      </c>
      <c r="S35" s="666">
        <f t="shared" si="12"/>
        <v>100</v>
      </c>
      <c r="T35" s="665" t="s">
        <v>14</v>
      </c>
      <c r="U35" s="666">
        <f t="shared" si="13"/>
        <v>100</v>
      </c>
      <c r="V35" s="665" t="s">
        <v>14</v>
      </c>
      <c r="W35" s="666">
        <f t="shared" si="14"/>
        <v>100</v>
      </c>
      <c r="X35" s="1263"/>
      <c r="Y35" s="3373"/>
      <c r="Z35" s="1262" t="str">
        <f t="shared" si="15"/>
        <v>公共部分装修</v>
      </c>
      <c r="AA35" s="1262">
        <f t="shared" si="3"/>
        <v>1</v>
      </c>
      <c r="AB35" s="1262">
        <f t="shared" si="4"/>
        <v>1</v>
      </c>
      <c r="AC35" s="1262">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71"/>
      <c r="Q36" s="1261" t="str">
        <f t="shared" si="11"/>
        <v>成新度</v>
      </c>
      <c r="R36" s="665" t="s">
        <v>14</v>
      </c>
      <c r="S36" s="666" t="e">
        <f t="shared" si="12"/>
        <v>#N/A</v>
      </c>
      <c r="T36" s="665" t="s">
        <v>14</v>
      </c>
      <c r="U36" s="666" t="e">
        <f t="shared" si="13"/>
        <v>#N/A</v>
      </c>
      <c r="V36" s="665" t="s">
        <v>14</v>
      </c>
      <c r="W36" s="666" t="e">
        <f t="shared" si="14"/>
        <v>#N/A</v>
      </c>
      <c r="X36" s="1263"/>
      <c r="Y36" s="3373"/>
      <c r="Z36" s="1262" t="str">
        <f t="shared" si="15"/>
        <v>成新度</v>
      </c>
      <c r="AA36" s="1262" t="e">
        <f t="shared" si="3"/>
        <v>#N/A</v>
      </c>
      <c r="AB36" s="1262" t="e">
        <f t="shared" si="4"/>
        <v>#N/A</v>
      </c>
      <c r="AC36" s="1262" t="e">
        <f t="shared" si="5"/>
        <v>#N/A</v>
      </c>
    </row>
    <row r="37" spans="1:29" s="102" customFormat="1" ht="15">
      <c r="A37" s="410"/>
      <c r="B37" s="364" t="s">
        <v>1785</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6"/>
      <c r="M37" s="2438"/>
      <c r="N37" s="2438"/>
      <c r="O37" s="2438"/>
      <c r="P37" s="3371"/>
      <c r="Q37" s="530" t="str">
        <f t="shared" si="11"/>
        <v>市政基础设施</v>
      </c>
      <c r="R37" s="662" t="s">
        <v>14</v>
      </c>
      <c r="S37" s="663">
        <f t="shared" si="12"/>
        <v>100</v>
      </c>
      <c r="T37" s="662" t="s">
        <v>14</v>
      </c>
      <c r="U37" s="663">
        <f t="shared" si="13"/>
        <v>100</v>
      </c>
      <c r="V37" s="662" t="s">
        <v>14</v>
      </c>
      <c r="W37" s="663">
        <f t="shared" si="14"/>
        <v>100</v>
      </c>
      <c r="X37" s="664"/>
      <c r="Y37" s="3373"/>
      <c r="Z37" s="50" t="str">
        <f t="shared" si="15"/>
        <v>市政基础设施</v>
      </c>
      <c r="AA37" s="50">
        <f t="shared" si="3"/>
        <v>1</v>
      </c>
      <c r="AB37" s="50">
        <f t="shared" si="4"/>
        <v>1</v>
      </c>
      <c r="AC37" s="50">
        <f t="shared" si="5"/>
        <v>1</v>
      </c>
    </row>
    <row r="38" spans="1:29" ht="15">
      <c r="A38" s="409"/>
      <c r="B38" s="364" t="s">
        <v>1786</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0"/>
      <c r="M38" s="2485"/>
      <c r="N38" s="2485"/>
      <c r="O38" s="2485"/>
      <c r="P38" s="3371" t="s">
        <v>1694</v>
      </c>
      <c r="Q38" s="1261" t="str">
        <f t="shared" si="11"/>
        <v>业态</v>
      </c>
      <c r="R38" s="665" t="s">
        <v>14</v>
      </c>
      <c r="S38" s="666">
        <f t="shared" si="12"/>
        <v>100</v>
      </c>
      <c r="T38" s="665" t="s">
        <v>14</v>
      </c>
      <c r="U38" s="666">
        <f t="shared" si="13"/>
        <v>100</v>
      </c>
      <c r="V38" s="665" t="s">
        <v>14</v>
      </c>
      <c r="W38" s="666">
        <f t="shared" si="14"/>
        <v>100</v>
      </c>
      <c r="X38" s="1263"/>
      <c r="Y38" s="3373" t="s">
        <v>1694</v>
      </c>
      <c r="Z38" s="1262" t="str">
        <f t="shared" si="15"/>
        <v>业态</v>
      </c>
      <c r="AA38" s="1262">
        <f t="shared" si="3"/>
        <v>1</v>
      </c>
      <c r="AB38" s="1262">
        <f t="shared" si="4"/>
        <v>1</v>
      </c>
      <c r="AC38" s="1262">
        <f t="shared" si="5"/>
        <v>1</v>
      </c>
    </row>
    <row r="39" spans="1:29" ht="15">
      <c r="A39" s="409"/>
      <c r="B39" s="364" t="s">
        <v>1787</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0"/>
      <c r="M39" s="2485"/>
      <c r="N39" s="2485"/>
      <c r="O39" s="2485"/>
      <c r="P39" s="3371"/>
      <c r="Q39" s="1261" t="str">
        <f t="shared" si="11"/>
        <v>层高</v>
      </c>
      <c r="R39" s="665" t="s">
        <v>14</v>
      </c>
      <c r="S39" s="666">
        <f t="shared" si="12"/>
        <v>100</v>
      </c>
      <c r="T39" s="665" t="s">
        <v>14</v>
      </c>
      <c r="U39" s="666">
        <f t="shared" si="13"/>
        <v>100</v>
      </c>
      <c r="V39" s="665" t="s">
        <v>14</v>
      </c>
      <c r="W39" s="666">
        <f t="shared" si="14"/>
        <v>100</v>
      </c>
      <c r="X39" s="1263"/>
      <c r="Y39" s="3373"/>
      <c r="Z39" s="1262" t="str">
        <f t="shared" si="15"/>
        <v>层高</v>
      </c>
      <c r="AA39" s="1262">
        <f t="shared" si="3"/>
        <v>1</v>
      </c>
      <c r="AB39" s="1262">
        <f t="shared" si="4"/>
        <v>1</v>
      </c>
      <c r="AC39" s="1262">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1"/>
      <c r="Q40" s="1261" t="str">
        <f t="shared" si="11"/>
        <v>单套建筑面积</v>
      </c>
      <c r="R40" s="665" t="s">
        <v>14</v>
      </c>
      <c r="S40" s="666">
        <f t="shared" si="12"/>
        <v>100</v>
      </c>
      <c r="T40" s="665" t="s">
        <v>14</v>
      </c>
      <c r="U40" s="666">
        <f t="shared" si="13"/>
        <v>100</v>
      </c>
      <c r="V40" s="665" t="s">
        <v>14</v>
      </c>
      <c r="W40" s="666">
        <f t="shared" si="14"/>
        <v>100</v>
      </c>
      <c r="X40" s="1263"/>
      <c r="Y40" s="3373"/>
      <c r="Z40" s="1262" t="str">
        <f t="shared" si="15"/>
        <v>单套建筑面积</v>
      </c>
      <c r="AA40" s="1262">
        <f t="shared" si="3"/>
        <v>1</v>
      </c>
      <c r="AB40" s="1262">
        <f t="shared" si="4"/>
        <v>1</v>
      </c>
      <c r="AC40" s="1262">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1"/>
      <c r="Q41" s="531" t="str">
        <f t="shared" si="11"/>
        <v>进深比</v>
      </c>
      <c r="R41" s="667" t="s">
        <v>14</v>
      </c>
      <c r="S41" s="668">
        <f t="shared" si="12"/>
        <v>100</v>
      </c>
      <c r="T41" s="667" t="s">
        <v>14</v>
      </c>
      <c r="U41" s="668">
        <f t="shared" si="13"/>
        <v>100</v>
      </c>
      <c r="V41" s="667" t="s">
        <v>14</v>
      </c>
      <c r="W41" s="668">
        <f t="shared" si="14"/>
        <v>100</v>
      </c>
      <c r="X41" s="669"/>
      <c r="Y41" s="3373"/>
      <c r="Z41" s="670" t="str">
        <f t="shared" si="15"/>
        <v>进深比</v>
      </c>
      <c r="AA41" s="1262">
        <f t="shared" si="3"/>
        <v>1</v>
      </c>
      <c r="AB41" s="1262">
        <f t="shared" si="4"/>
        <v>1</v>
      </c>
      <c r="AC41" s="1262">
        <f t="shared" si="5"/>
        <v>1</v>
      </c>
    </row>
    <row r="42" spans="1:29" ht="15">
      <c r="A42" s="409"/>
      <c r="B42" s="364" t="s">
        <v>1790</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0"/>
      <c r="M42" s="2485"/>
      <c r="N42" s="2485"/>
      <c r="O42" s="2485"/>
      <c r="P42" s="3371"/>
      <c r="Q42" s="1261" t="str">
        <f t="shared" si="11"/>
        <v>内部装修</v>
      </c>
      <c r="R42" s="665" t="s">
        <v>14</v>
      </c>
      <c r="S42" s="666">
        <f t="shared" si="12"/>
        <v>100</v>
      </c>
      <c r="T42" s="665" t="s">
        <v>14</v>
      </c>
      <c r="U42" s="666">
        <f t="shared" si="13"/>
        <v>100</v>
      </c>
      <c r="V42" s="665" t="s">
        <v>14</v>
      </c>
      <c r="W42" s="666">
        <f t="shared" si="14"/>
        <v>100</v>
      </c>
      <c r="X42" s="1263"/>
      <c r="Y42" s="3373"/>
      <c r="Z42" s="1262" t="str">
        <f t="shared" si="15"/>
        <v>内部装修</v>
      </c>
      <c r="AA42" s="1262">
        <f t="shared" si="3"/>
        <v>1</v>
      </c>
      <c r="AB42" s="1262">
        <f t="shared" si="4"/>
        <v>1</v>
      </c>
      <c r="AC42" s="1262">
        <f t="shared" si="5"/>
        <v>1</v>
      </c>
    </row>
    <row r="43" spans="1:29" ht="28.8">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0"/>
      <c r="M43" s="2485"/>
      <c r="N43" s="2485"/>
      <c r="O43" s="2485"/>
      <c r="P43" s="3371"/>
      <c r="Q43" s="1261" t="str">
        <f t="shared" si="11"/>
        <v>内部装修维护情况</v>
      </c>
      <c r="R43" s="665" t="s">
        <v>14</v>
      </c>
      <c r="S43" s="666">
        <f t="shared" si="12"/>
        <v>100</v>
      </c>
      <c r="T43" s="665" t="s">
        <v>14</v>
      </c>
      <c r="U43" s="666">
        <f t="shared" si="13"/>
        <v>100</v>
      </c>
      <c r="V43" s="665" t="s">
        <v>14</v>
      </c>
      <c r="W43" s="666">
        <f t="shared" si="14"/>
        <v>100</v>
      </c>
      <c r="X43" s="1263"/>
      <c r="Y43" s="337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1"/>
      <c r="Q44" s="530">
        <f t="shared" si="11"/>
        <v>111</v>
      </c>
      <c r="R44" s="662" t="s">
        <v>14</v>
      </c>
      <c r="S44" s="663">
        <f t="shared" si="12"/>
        <v>100</v>
      </c>
      <c r="T44" s="662" t="s">
        <v>14</v>
      </c>
      <c r="U44" s="663">
        <f t="shared" si="13"/>
        <v>100</v>
      </c>
      <c r="V44" s="662" t="s">
        <v>14</v>
      </c>
      <c r="W44" s="663">
        <f t="shared" si="14"/>
        <v>100</v>
      </c>
      <c r="X44" s="664"/>
      <c r="Y44" s="337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1"/>
      <c r="Q45" s="1261">
        <f t="shared" si="11"/>
        <v>111</v>
      </c>
      <c r="R45" s="665" t="s">
        <v>14</v>
      </c>
      <c r="S45" s="666">
        <f t="shared" si="12"/>
        <v>100</v>
      </c>
      <c r="T45" s="665" t="s">
        <v>14</v>
      </c>
      <c r="U45" s="666">
        <f t="shared" si="13"/>
        <v>100</v>
      </c>
      <c r="V45" s="665" t="s">
        <v>14</v>
      </c>
      <c r="W45" s="666">
        <f t="shared" si="14"/>
        <v>100</v>
      </c>
      <c r="X45" s="1263"/>
      <c r="Y45" s="3373"/>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2"/>
      <c r="Q46" s="1261">
        <f t="shared" si="11"/>
        <v>111</v>
      </c>
      <c r="R46" s="665" t="s">
        <v>14</v>
      </c>
      <c r="S46" s="666">
        <f t="shared" si="12"/>
        <v>100</v>
      </c>
      <c r="T46" s="665" t="s">
        <v>14</v>
      </c>
      <c r="U46" s="666">
        <f t="shared" si="13"/>
        <v>100</v>
      </c>
      <c r="V46" s="665" t="s">
        <v>14</v>
      </c>
      <c r="W46" s="666">
        <f t="shared" si="14"/>
        <v>100</v>
      </c>
      <c r="X46" s="1263"/>
      <c r="Y46" s="3374"/>
      <c r="Z46" s="1262">
        <f t="shared" si="15"/>
        <v>111</v>
      </c>
      <c r="AA46" s="1262">
        <f t="shared" si="3"/>
        <v>1</v>
      </c>
      <c r="AB46" s="1262">
        <f t="shared" si="4"/>
        <v>1</v>
      </c>
      <c r="AC46" s="1262">
        <f t="shared" si="5"/>
        <v>1</v>
      </c>
    </row>
    <row r="47" spans="1:29" ht="14.4">
      <c r="A47" s="416" t="s">
        <v>1706</v>
      </c>
      <c r="B47" s="417"/>
      <c r="C47" s="1079" t="s">
        <v>0</v>
      </c>
      <c r="D47" s="418"/>
      <c r="E47" s="419"/>
      <c r="F47" s="420"/>
      <c r="G47" s="421"/>
      <c r="H47" s="422"/>
      <c r="I47" s="419"/>
      <c r="J47" s="422"/>
      <c r="K47" s="672"/>
      <c r="L47" s="2492"/>
      <c r="M47" s="2485"/>
      <c r="N47" s="2485"/>
      <c r="O47" s="2485"/>
      <c r="P47" s="3361" t="str">
        <f>A47</f>
        <v>成交单价（元/平方米）</v>
      </c>
      <c r="Q47" s="3361"/>
      <c r="R47" s="3362">
        <f>E47</f>
        <v>0</v>
      </c>
      <c r="S47" s="3362"/>
      <c r="T47" s="3362">
        <f>G47</f>
        <v>0</v>
      </c>
      <c r="U47" s="3362"/>
      <c r="V47" s="3362">
        <f>I47</f>
        <v>0</v>
      </c>
      <c r="W47" s="3362"/>
      <c r="X47" s="385"/>
      <c r="Y47" s="671"/>
      <c r="Z47" s="385"/>
      <c r="AA47" s="385"/>
      <c r="AB47" s="385"/>
      <c r="AC47" s="385"/>
    </row>
    <row r="48" spans="1:29" ht="15" thickBot="1">
      <c r="A48" s="423" t="s">
        <v>1791</v>
      </c>
      <c r="B48" s="424"/>
      <c r="C48" s="1080" t="e">
        <f>R49</f>
        <v>#DIV/0!</v>
      </c>
      <c r="D48" s="2139" t="s">
        <v>2135</v>
      </c>
      <c r="E48" s="1081" t="e">
        <f>R48</f>
        <v>#DIV/0!</v>
      </c>
      <c r="F48" s="2140"/>
      <c r="G48" s="1080" t="e">
        <f>T48</f>
        <v>#DIV/0!</v>
      </c>
      <c r="H48" s="2140"/>
      <c r="I48" s="1081" t="e">
        <f>V48</f>
        <v>#DIV/0!</v>
      </c>
      <c r="J48" s="2140"/>
      <c r="K48" s="2142">
        <f>F48+H48+J48</f>
        <v>0</v>
      </c>
      <c r="L48" s="2492"/>
      <c r="M48" s="2485"/>
      <c r="N48" s="2485"/>
      <c r="O48" s="2485"/>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1792</v>
      </c>
      <c r="B49" s="428"/>
      <c r="C49" s="351" t="e">
        <f>R49</f>
        <v>#DIV/0!</v>
      </c>
      <c r="D49" s="351"/>
      <c r="E49" s="351"/>
      <c r="F49" s="351"/>
      <c r="G49" s="351"/>
      <c r="H49" s="351"/>
      <c r="I49" s="351"/>
      <c r="J49" s="351"/>
      <c r="K49" s="673"/>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6" t="s">
        <v>1796</v>
      </c>
      <c r="B57" s="385"/>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2" customFormat="1" ht="14.4">
      <c r="A58" s="440" t="s">
        <v>1677</v>
      </c>
      <c r="B58" s="441"/>
      <c r="C58" s="1101" t="str">
        <f>YEAR(C7)&amp;"-"&amp;MONTH(C7)</f>
        <v>2025-4</v>
      </c>
      <c r="D58" s="1102">
        <f>EDATE(C58,-1)</f>
        <v>45717</v>
      </c>
      <c r="E58" s="1102">
        <f t="shared" ref="E58:N58" si="16">EDATE(D58,-1)</f>
        <v>45689</v>
      </c>
      <c r="F58" s="1102">
        <f t="shared" si="16"/>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0">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1714</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1679</v>
      </c>
      <c r="B61" s="444"/>
      <c r="C61" s="456" t="s">
        <v>1774</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1717</v>
      </c>
      <c r="B63" s="460" t="s">
        <v>1683</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1686</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1688</v>
      </c>
      <c r="B76" s="460" t="s">
        <v>1718</v>
      </c>
      <c r="C76" s="504" t="s">
        <v>1719</v>
      </c>
      <c r="D76" s="504" t="s">
        <v>1720</v>
      </c>
      <c r="E76" s="504" t="s">
        <v>1721</v>
      </c>
      <c r="F76" s="504" t="s">
        <v>1722</v>
      </c>
      <c r="G76" s="504" t="s">
        <v>1723</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1724</v>
      </c>
      <c r="C78" s="509" t="s">
        <v>1719</v>
      </c>
      <c r="D78" s="509" t="s">
        <v>1720</v>
      </c>
      <c r="E78" s="509" t="s">
        <v>1721</v>
      </c>
      <c r="F78" s="509" t="s">
        <v>1722</v>
      </c>
      <c r="G78" s="509" t="s">
        <v>1723</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1725</v>
      </c>
      <c r="C80" s="509" t="s">
        <v>1719</v>
      </c>
      <c r="D80" s="509" t="s">
        <v>1720</v>
      </c>
      <c r="E80" s="509" t="s">
        <v>1721</v>
      </c>
      <c r="F80" s="509" t="s">
        <v>1722</v>
      </c>
      <c r="G80" s="509" t="s">
        <v>1723</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1777</v>
      </c>
      <c r="C82" s="581" t="s">
        <v>1797</v>
      </c>
      <c r="D82" s="581" t="s">
        <v>1798</v>
      </c>
      <c r="E82" s="581" t="s">
        <v>1799</v>
      </c>
      <c r="F82" s="581" t="s">
        <v>1800</v>
      </c>
      <c r="G82" s="581" t="s">
        <v>1801</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1731</v>
      </c>
      <c r="C84" s="509" t="s">
        <v>1719</v>
      </c>
      <c r="D84" s="509" t="s">
        <v>1720</v>
      </c>
      <c r="E84" s="509" t="s">
        <v>1721</v>
      </c>
      <c r="F84" s="509" t="s">
        <v>1722</v>
      </c>
      <c r="G84" s="509" t="s">
        <v>1723</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1802</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8"/>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1692</v>
      </c>
      <c r="B100" s="460" t="s">
        <v>1803</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1736</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1738</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1740</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1804</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1805</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1806</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1807</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1742</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1658</v>
      </c>
      <c r="B1" s="1806" t="s">
        <v>1824</v>
      </c>
      <c r="C1" s="1139" t="s">
        <v>1660</v>
      </c>
      <c r="D1" s="1140"/>
      <c r="E1" s="3129"/>
      <c r="F1" s="1733"/>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1462</v>
      </c>
      <c r="B3" s="536">
        <f>IF(C2="——",C43,ROUND(B2*10000/D3,0))</f>
        <v>0</v>
      </c>
      <c r="C3" s="344" t="s">
        <v>1766</v>
      </c>
      <c r="D3" s="343">
        <f>IF(D1="",'数据-汇总表'!E3,SUMIF('数据-汇总表'!$C19:$C33,D1,'数据-汇总表'!$E19:$E33))</f>
        <v>36780.86</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4.4">
      <c r="A4" s="345" t="s">
        <v>1767</v>
      </c>
      <c r="B4" s="346"/>
      <c r="C4" s="3378" t="s">
        <v>1768</v>
      </c>
      <c r="D4" s="3379"/>
      <c r="E4" s="3380" t="s">
        <v>1769</v>
      </c>
      <c r="F4" s="3381"/>
      <c r="G4" s="3378" t="s">
        <v>1770</v>
      </c>
      <c r="H4" s="3379"/>
      <c r="I4" s="3378" t="s">
        <v>1771</v>
      </c>
      <c r="J4" s="3379"/>
      <c r="K4" s="537" t="s">
        <v>1772</v>
      </c>
      <c r="L4" s="858"/>
      <c r="M4" s="859"/>
      <c r="N4" s="859"/>
      <c r="O4" s="859"/>
      <c r="P4" s="3466" t="s">
        <v>1773</v>
      </c>
      <c r="Q4" s="3467"/>
      <c r="R4" s="3470" t="s">
        <v>1769</v>
      </c>
      <c r="S4" s="3471"/>
      <c r="T4" s="3470" t="s">
        <v>1770</v>
      </c>
      <c r="U4" s="3471"/>
      <c r="V4" s="3362" t="s">
        <v>1771</v>
      </c>
      <c r="W4" s="3362"/>
      <c r="X4" s="1263"/>
      <c r="Y4" s="3470" t="s">
        <v>1773</v>
      </c>
      <c r="Z4" s="3471"/>
      <c r="AA4" s="3465" t="s">
        <v>1769</v>
      </c>
      <c r="AB4" s="3407" t="s">
        <v>1770</v>
      </c>
      <c r="AC4" s="3465" t="s">
        <v>1771</v>
      </c>
    </row>
    <row r="5" spans="1:29">
      <c r="A5" s="348"/>
      <c r="B5" s="349"/>
      <c r="C5" s="3403" t="s">
        <v>1671</v>
      </c>
      <c r="D5" s="3398"/>
      <c r="E5" s="3472" t="s">
        <v>1672</v>
      </c>
      <c r="F5" s="3410"/>
      <c r="G5" s="3403" t="s">
        <v>1673</v>
      </c>
      <c r="H5" s="3398"/>
      <c r="I5" s="3403" t="s">
        <v>1674</v>
      </c>
      <c r="J5" s="3398"/>
      <c r="K5" s="537"/>
      <c r="L5" s="858"/>
      <c r="M5" s="859"/>
      <c r="N5" s="859"/>
      <c r="O5" s="859"/>
      <c r="P5" s="3468"/>
      <c r="Q5" s="3385"/>
      <c r="R5" s="3390"/>
      <c r="S5" s="3391"/>
      <c r="T5" s="3390"/>
      <c r="U5" s="3391"/>
      <c r="V5" s="3362"/>
      <c r="W5" s="3362"/>
      <c r="X5" s="1263"/>
      <c r="Y5" s="3390"/>
      <c r="Z5" s="3391"/>
      <c r="AA5" s="3407"/>
      <c r="AB5" s="3407"/>
      <c r="AC5" s="3407"/>
    </row>
    <row r="6" spans="1:29" ht="15" thickBot="1">
      <c r="A6" s="350"/>
      <c r="B6" s="351"/>
      <c r="C6" s="3395" t="s">
        <v>1675</v>
      </c>
      <c r="D6" s="3396"/>
      <c r="E6" s="3404" t="s">
        <v>1675</v>
      </c>
      <c r="F6" s="3405"/>
      <c r="G6" s="3395" t="s">
        <v>1675</v>
      </c>
      <c r="H6" s="3396"/>
      <c r="I6" s="3395" t="s">
        <v>1675</v>
      </c>
      <c r="J6" s="3396"/>
      <c r="K6" s="537" t="s">
        <v>1676</v>
      </c>
      <c r="L6" s="858"/>
      <c r="M6" s="859"/>
      <c r="N6" s="859"/>
      <c r="O6" s="859"/>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0"/>
      <c r="M7" s="861"/>
      <c r="N7" s="861"/>
      <c r="O7" s="861"/>
      <c r="P7" s="3401" t="s">
        <v>1678</v>
      </c>
      <c r="Q7" s="3402"/>
      <c r="R7" s="662" t="s">
        <v>14</v>
      </c>
      <c r="S7" s="663">
        <f t="shared" ref="S7:S15" si="0">F7</f>
        <v>0</v>
      </c>
      <c r="T7" s="662" t="s">
        <v>14</v>
      </c>
      <c r="U7" s="663">
        <f t="shared" ref="U7:U15" si="1">H7</f>
        <v>0</v>
      </c>
      <c r="V7" s="662" t="s">
        <v>14</v>
      </c>
      <c r="W7" s="663">
        <f t="shared" ref="W7:W15" si="2">J7</f>
        <v>0</v>
      </c>
      <c r="X7" s="664"/>
      <c r="Y7" s="3401" t="s">
        <v>1678</v>
      </c>
      <c r="Z7" s="3400"/>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01" t="s">
        <v>1681</v>
      </c>
      <c r="Q8" s="3400"/>
      <c r="R8" s="662" t="s">
        <v>14</v>
      </c>
      <c r="S8" s="663">
        <f t="shared" si="0"/>
        <v>100</v>
      </c>
      <c r="T8" s="662" t="s">
        <v>14</v>
      </c>
      <c r="U8" s="663">
        <f t="shared" si="1"/>
        <v>100</v>
      </c>
      <c r="V8" s="662" t="s">
        <v>14</v>
      </c>
      <c r="W8" s="663">
        <f t="shared" si="2"/>
        <v>100</v>
      </c>
      <c r="X8" s="664"/>
      <c r="Y8" s="3401" t="s">
        <v>1681</v>
      </c>
      <c r="Z8" s="3400"/>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61" t="s">
        <v>1684</v>
      </c>
      <c r="Q9" s="530" t="str">
        <f t="shared" ref="Q9:Q15" si="6">B9</f>
        <v>用途</v>
      </c>
      <c r="R9" s="662" t="s">
        <v>14</v>
      </c>
      <c r="S9" s="663">
        <f t="shared" si="0"/>
        <v>100</v>
      </c>
      <c r="T9" s="662" t="s">
        <v>14</v>
      </c>
      <c r="U9" s="663">
        <f t="shared" si="1"/>
        <v>100</v>
      </c>
      <c r="V9" s="662" t="s">
        <v>14</v>
      </c>
      <c r="W9" s="663">
        <f t="shared" si="2"/>
        <v>100</v>
      </c>
      <c r="X9" s="664"/>
      <c r="Y9" s="3264" t="s">
        <v>1685</v>
      </c>
      <c r="Z9" s="50" t="str">
        <f t="shared" ref="Z9:Z15" si="7">Q9</f>
        <v>用途</v>
      </c>
      <c r="AA9" s="50">
        <f t="shared" si="3"/>
        <v>1</v>
      </c>
      <c r="AB9" s="50">
        <f t="shared" si="4"/>
        <v>1</v>
      </c>
      <c r="AC9" s="50">
        <f t="shared" si="5"/>
        <v>1</v>
      </c>
    </row>
    <row r="10" spans="1:29" s="366" customFormat="1" ht="28.8">
      <c r="A10" s="363"/>
      <c r="B10" s="364" t="s">
        <v>1686</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361"/>
      <c r="Q10" s="530" t="str">
        <f t="shared" si="6"/>
        <v>土地使用年限（年）</v>
      </c>
      <c r="R10" s="662" t="s">
        <v>14</v>
      </c>
      <c r="S10" s="663">
        <f t="shared" si="0"/>
        <v>100</v>
      </c>
      <c r="T10" s="662" t="s">
        <v>14</v>
      </c>
      <c r="U10" s="663">
        <f t="shared" si="1"/>
        <v>100</v>
      </c>
      <c r="V10" s="662" t="s">
        <v>14</v>
      </c>
      <c r="W10" s="663">
        <f t="shared" si="2"/>
        <v>100</v>
      </c>
      <c r="X10" s="664"/>
      <c r="Y10" s="3264"/>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61"/>
      <c r="Q11" s="530" t="str">
        <f t="shared" si="6"/>
        <v>容积率</v>
      </c>
      <c r="R11" s="662" t="s">
        <v>14</v>
      </c>
      <c r="S11" s="663">
        <f t="shared" si="0"/>
        <v>100</v>
      </c>
      <c r="T11" s="662" t="s">
        <v>14</v>
      </c>
      <c r="U11" s="663">
        <f t="shared" si="1"/>
        <v>100</v>
      </c>
      <c r="V11" s="662" t="s">
        <v>14</v>
      </c>
      <c r="W11" s="663">
        <f t="shared" si="2"/>
        <v>100</v>
      </c>
      <c r="X11" s="664"/>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61"/>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61"/>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61"/>
      <c r="Q14" s="530">
        <f t="shared" si="6"/>
        <v>111</v>
      </c>
      <c r="R14" s="662" t="s">
        <v>14</v>
      </c>
      <c r="S14" s="663">
        <f t="shared" si="0"/>
        <v>100</v>
      </c>
      <c r="T14" s="662" t="s">
        <v>14</v>
      </c>
      <c r="U14" s="663">
        <f t="shared" si="1"/>
        <v>100</v>
      </c>
      <c r="V14" s="662" t="s">
        <v>14</v>
      </c>
      <c r="W14" s="663">
        <f t="shared" si="2"/>
        <v>100</v>
      </c>
      <c r="X14" s="664"/>
      <c r="Y14" s="3264"/>
      <c r="Z14" s="50">
        <f t="shared" si="7"/>
        <v>111</v>
      </c>
      <c r="AA14" s="50">
        <f t="shared" si="3"/>
        <v>1</v>
      </c>
      <c r="AB14" s="50">
        <f t="shared" si="4"/>
        <v>1</v>
      </c>
      <c r="AC14" s="50">
        <f t="shared" si="5"/>
        <v>1</v>
      </c>
    </row>
    <row r="15" spans="1:29" ht="69">
      <c r="A15" s="379" t="s">
        <v>1688</v>
      </c>
      <c r="B15" s="58" t="s">
        <v>1825</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68" t="s">
        <v>1689</v>
      </c>
      <c r="Q15" s="1261" t="str">
        <f t="shared" si="6"/>
        <v>产业集聚程度</v>
      </c>
      <c r="R15" s="665" t="s">
        <v>14</v>
      </c>
      <c r="S15" s="666">
        <f t="shared" si="0"/>
        <v>100</v>
      </c>
      <c r="T15" s="665" t="s">
        <v>14</v>
      </c>
      <c r="U15" s="666">
        <f t="shared" si="1"/>
        <v>100</v>
      </c>
      <c r="V15" s="665" t="s">
        <v>14</v>
      </c>
      <c r="W15" s="666">
        <f t="shared" si="2"/>
        <v>100</v>
      </c>
      <c r="X15" s="1263"/>
      <c r="Y15" s="3368" t="s">
        <v>1689</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69"/>
      <c r="Q16" s="1261"/>
      <c r="R16" s="665"/>
      <c r="S16" s="666"/>
      <c r="T16" s="665"/>
      <c r="U16" s="666"/>
      <c r="V16" s="665"/>
      <c r="W16" s="666"/>
      <c r="X16" s="1263"/>
      <c r="Y16" s="3369"/>
      <c r="Z16" s="1262"/>
      <c r="AA16" s="1262">
        <v>1</v>
      </c>
      <c r="AB16" s="1262">
        <v>1</v>
      </c>
      <c r="AC16" s="1262">
        <v>1</v>
      </c>
    </row>
    <row r="17" spans="1:29" ht="96.6">
      <c r="A17" s="367"/>
      <c r="B17" s="390" t="s">
        <v>1257</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69"/>
      <c r="Q17" s="1261" t="str">
        <f>B17</f>
        <v>交通便捷度</v>
      </c>
      <c r="R17" s="665" t="s">
        <v>14</v>
      </c>
      <c r="S17" s="666">
        <f>F17</f>
        <v>100</v>
      </c>
      <c r="T17" s="665" t="s">
        <v>14</v>
      </c>
      <c r="U17" s="666">
        <f>H17</f>
        <v>100</v>
      </c>
      <c r="V17" s="665" t="s">
        <v>14</v>
      </c>
      <c r="W17" s="666">
        <f>J17</f>
        <v>100</v>
      </c>
      <c r="X17" s="1263"/>
      <c r="Y17" s="336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69"/>
      <c r="Q18" s="1261"/>
      <c r="R18" s="665"/>
      <c r="S18" s="666"/>
      <c r="T18" s="665"/>
      <c r="U18" s="666"/>
      <c r="V18" s="665"/>
      <c r="W18" s="666"/>
      <c r="X18" s="1263"/>
      <c r="Y18" s="3369"/>
      <c r="Z18" s="1262"/>
      <c r="AA18" s="1262">
        <v>1</v>
      </c>
      <c r="AB18" s="1262">
        <v>1</v>
      </c>
      <c r="AC18" s="1262">
        <v>1</v>
      </c>
    </row>
    <row r="19" spans="1:29" ht="41.4">
      <c r="A19" s="367"/>
      <c r="B19" s="390" t="s">
        <v>1810</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69"/>
      <c r="Q19" s="1261" t="str">
        <f>B19</f>
        <v>公共配套设施</v>
      </c>
      <c r="R19" s="665" t="s">
        <v>14</v>
      </c>
      <c r="S19" s="666">
        <f>F19</f>
        <v>100</v>
      </c>
      <c r="T19" s="665" t="s">
        <v>14</v>
      </c>
      <c r="U19" s="666">
        <f>H19</f>
        <v>100</v>
      </c>
      <c r="V19" s="665" t="s">
        <v>14</v>
      </c>
      <c r="W19" s="666">
        <f>J19</f>
        <v>100</v>
      </c>
      <c r="X19" s="1263"/>
      <c r="Y19" s="336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69"/>
      <c r="Q20" s="1261"/>
      <c r="R20" s="665"/>
      <c r="S20" s="666"/>
      <c r="T20" s="665"/>
      <c r="U20" s="666"/>
      <c r="V20" s="665"/>
      <c r="W20" s="666"/>
      <c r="X20" s="1263"/>
      <c r="Y20" s="3369"/>
      <c r="Z20" s="1262"/>
      <c r="AA20" s="1262">
        <v>1</v>
      </c>
      <c r="AB20" s="1262">
        <v>1</v>
      </c>
      <c r="AC20" s="1262">
        <v>1</v>
      </c>
    </row>
    <row r="21" spans="1:29" ht="41.4">
      <c r="A21" s="367"/>
      <c r="B21" s="586" t="s">
        <v>1811</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69"/>
      <c r="Q21" s="1261" t="str">
        <f>B21</f>
        <v>基础设施水平</v>
      </c>
      <c r="R21" s="665" t="s">
        <v>14</v>
      </c>
      <c r="S21" s="666">
        <f>F21</f>
        <v>100</v>
      </c>
      <c r="T21" s="665" t="s">
        <v>14</v>
      </c>
      <c r="U21" s="666">
        <f>H21</f>
        <v>100</v>
      </c>
      <c r="V21" s="665" t="s">
        <v>14</v>
      </c>
      <c r="W21" s="666">
        <f>J21</f>
        <v>100</v>
      </c>
      <c r="X21" s="1263"/>
      <c r="Y21" s="336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69"/>
      <c r="Q22" s="1261"/>
      <c r="R22" s="665"/>
      <c r="S22" s="666"/>
      <c r="T22" s="665"/>
      <c r="U22" s="666"/>
      <c r="V22" s="665"/>
      <c r="W22" s="666"/>
      <c r="X22" s="1263"/>
      <c r="Y22" s="3369"/>
      <c r="Z22" s="1262"/>
      <c r="AA22" s="1262">
        <v>1</v>
      </c>
      <c r="AB22" s="1262">
        <v>1</v>
      </c>
      <c r="AC22" s="1262">
        <v>1</v>
      </c>
    </row>
    <row r="23" spans="1:29" ht="82.8">
      <c r="A23" s="367"/>
      <c r="B23" s="390" t="s">
        <v>1812</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69"/>
      <c r="Q23" s="1261" t="str">
        <f>B23</f>
        <v>环境质量</v>
      </c>
      <c r="R23" s="665" t="s">
        <v>14</v>
      </c>
      <c r="S23" s="666">
        <f>F23</f>
        <v>100</v>
      </c>
      <c r="T23" s="665" t="s">
        <v>14</v>
      </c>
      <c r="U23" s="666">
        <f>H23</f>
        <v>100</v>
      </c>
      <c r="V23" s="665" t="s">
        <v>14</v>
      </c>
      <c r="W23" s="666">
        <f>J23</f>
        <v>100</v>
      </c>
      <c r="X23" s="1263"/>
      <c r="Y23" s="3369"/>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69"/>
      <c r="Q24" s="1261"/>
      <c r="R24" s="665"/>
      <c r="S24" s="666"/>
      <c r="T24" s="665"/>
      <c r="U24" s="666"/>
      <c r="V24" s="665"/>
      <c r="W24" s="666"/>
      <c r="X24" s="1263"/>
      <c r="Y24" s="3369"/>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69"/>
      <c r="Q25" s="1261">
        <f>B25</f>
        <v>111</v>
      </c>
      <c r="R25" s="665" t="s">
        <v>14</v>
      </c>
      <c r="S25" s="666">
        <f>F25</f>
        <v>100</v>
      </c>
      <c r="T25" s="665" t="s">
        <v>14</v>
      </c>
      <c r="U25" s="666">
        <f>H25</f>
        <v>100</v>
      </c>
      <c r="V25" s="665" t="s">
        <v>14</v>
      </c>
      <c r="W25" s="666">
        <f>J25</f>
        <v>100</v>
      </c>
      <c r="X25" s="1263"/>
      <c r="Y25" s="3369"/>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69"/>
      <c r="Q26" s="1261">
        <f t="shared" ref="Q26:Q40" si="11">B26</f>
        <v>111</v>
      </c>
      <c r="R26" s="665" t="s">
        <v>14</v>
      </c>
      <c r="S26" s="666">
        <f>F26</f>
        <v>100</v>
      </c>
      <c r="T26" s="665" t="s">
        <v>14</v>
      </c>
      <c r="U26" s="666">
        <f>H26</f>
        <v>100</v>
      </c>
      <c r="V26" s="665" t="s">
        <v>14</v>
      </c>
      <c r="W26" s="666">
        <f>J26</f>
        <v>100</v>
      </c>
      <c r="X26" s="1263"/>
      <c r="Y26" s="3369"/>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69"/>
      <c r="Q27" s="530">
        <f t="shared" si="11"/>
        <v>111</v>
      </c>
      <c r="R27" s="662" t="s">
        <v>14</v>
      </c>
      <c r="S27" s="663">
        <f>F27</f>
        <v>100</v>
      </c>
      <c r="T27" s="662" t="s">
        <v>14</v>
      </c>
      <c r="U27" s="663">
        <f>H27</f>
        <v>100</v>
      </c>
      <c r="V27" s="662" t="s">
        <v>14</v>
      </c>
      <c r="W27" s="663">
        <f>J27</f>
        <v>100</v>
      </c>
      <c r="X27" s="664"/>
      <c r="Y27" s="3369"/>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69"/>
      <c r="Q28" s="1261">
        <f t="shared" si="11"/>
        <v>111</v>
      </c>
      <c r="R28" s="665" t="s">
        <v>14</v>
      </c>
      <c r="S28" s="666">
        <f t="shared" ref="S28:S40" si="12">F28</f>
        <v>100</v>
      </c>
      <c r="T28" s="665" t="s">
        <v>14</v>
      </c>
      <c r="U28" s="666">
        <f t="shared" ref="U28:U40" si="13">H28</f>
        <v>100</v>
      </c>
      <c r="V28" s="665" t="s">
        <v>14</v>
      </c>
      <c r="W28" s="666">
        <f t="shared" ref="W28:W40" si="14">J28</f>
        <v>100</v>
      </c>
      <c r="X28" s="1263"/>
      <c r="Y28" s="3369"/>
      <c r="Z28" s="1262">
        <f t="shared" ref="Z28:Z40" si="15">Q28</f>
        <v>111</v>
      </c>
      <c r="AA28" s="1262">
        <f t="shared" si="3"/>
        <v>1</v>
      </c>
      <c r="AB28" s="1262">
        <f t="shared" si="4"/>
        <v>1</v>
      </c>
      <c r="AC28" s="1262">
        <f t="shared" si="5"/>
        <v>1</v>
      </c>
    </row>
    <row r="29" spans="1:29" ht="30">
      <c r="A29" s="404" t="s">
        <v>1692</v>
      </c>
      <c r="B29" s="60" t="s">
        <v>1815</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73" t="s">
        <v>1694</v>
      </c>
      <c r="Q29" s="1261" t="str">
        <f t="shared" si="11"/>
        <v>建筑类型</v>
      </c>
      <c r="R29" s="665" t="s">
        <v>14</v>
      </c>
      <c r="S29" s="666">
        <f t="shared" si="12"/>
        <v>100</v>
      </c>
      <c r="T29" s="665" t="s">
        <v>14</v>
      </c>
      <c r="U29" s="666">
        <f t="shared" si="13"/>
        <v>100</v>
      </c>
      <c r="V29" s="665" t="s">
        <v>14</v>
      </c>
      <c r="W29" s="666">
        <f t="shared" si="14"/>
        <v>100</v>
      </c>
      <c r="X29" s="1263"/>
      <c r="Y29" s="3373" t="s">
        <v>1694</v>
      </c>
      <c r="Z29" s="1262" t="str">
        <f t="shared" si="15"/>
        <v>建筑类型</v>
      </c>
      <c r="AA29" s="1262">
        <f t="shared" si="3"/>
        <v>1</v>
      </c>
      <c r="AB29" s="1262">
        <f t="shared" si="4"/>
        <v>1</v>
      </c>
      <c r="AC29" s="1262">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73"/>
      <c r="Q30" s="531" t="str">
        <f t="shared" si="11"/>
        <v>项目建筑规模</v>
      </c>
      <c r="R30" s="667" t="s">
        <v>14</v>
      </c>
      <c r="S30" s="668" t="e">
        <f t="shared" si="12"/>
        <v>#N/A</v>
      </c>
      <c r="T30" s="667" t="s">
        <v>14</v>
      </c>
      <c r="U30" s="668" t="e">
        <f t="shared" si="13"/>
        <v>#N/A</v>
      </c>
      <c r="V30" s="667" t="s">
        <v>14</v>
      </c>
      <c r="W30" s="668" t="e">
        <f t="shared" si="14"/>
        <v>#N/A</v>
      </c>
      <c r="X30" s="669"/>
      <c r="Y30" s="3373"/>
      <c r="Z30" s="670" t="str">
        <f t="shared" si="15"/>
        <v>项目建筑规模</v>
      </c>
      <c r="AA30" s="1262" t="e">
        <f t="shared" si="3"/>
        <v>#N/A</v>
      </c>
      <c r="AB30" s="1262" t="e">
        <f t="shared" si="4"/>
        <v>#N/A</v>
      </c>
      <c r="AC30" s="1262"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73"/>
      <c r="Q31" s="1261" t="str">
        <f t="shared" si="11"/>
        <v>建筑结构</v>
      </c>
      <c r="R31" s="665" t="s">
        <v>14</v>
      </c>
      <c r="S31" s="666">
        <f t="shared" si="12"/>
        <v>100</v>
      </c>
      <c r="T31" s="665" t="s">
        <v>14</v>
      </c>
      <c r="U31" s="666">
        <f t="shared" si="13"/>
        <v>100</v>
      </c>
      <c r="V31" s="665" t="s">
        <v>14</v>
      </c>
      <c r="W31" s="666">
        <f t="shared" si="14"/>
        <v>100</v>
      </c>
      <c r="X31" s="1263"/>
      <c r="Y31" s="3373"/>
      <c r="Z31" s="1262" t="str">
        <f t="shared" si="15"/>
        <v>建筑结构</v>
      </c>
      <c r="AA31" s="1262">
        <f t="shared" si="3"/>
        <v>1</v>
      </c>
      <c r="AB31" s="1262">
        <f t="shared" si="4"/>
        <v>1</v>
      </c>
      <c r="AC31" s="1262">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73"/>
      <c r="Q32" s="1261" t="str">
        <f t="shared" si="11"/>
        <v>公共部分装修</v>
      </c>
      <c r="R32" s="665" t="s">
        <v>14</v>
      </c>
      <c r="S32" s="666">
        <f t="shared" si="12"/>
        <v>100</v>
      </c>
      <c r="T32" s="665" t="s">
        <v>14</v>
      </c>
      <c r="U32" s="666">
        <f t="shared" si="13"/>
        <v>100</v>
      </c>
      <c r="V32" s="665" t="s">
        <v>14</v>
      </c>
      <c r="W32" s="666">
        <f t="shared" si="14"/>
        <v>100</v>
      </c>
      <c r="X32" s="1263"/>
      <c r="Y32" s="3373"/>
      <c r="Z32" s="1262" t="str">
        <f t="shared" si="15"/>
        <v>公共部分装修</v>
      </c>
      <c r="AA32" s="1262">
        <f t="shared" si="3"/>
        <v>1</v>
      </c>
      <c r="AB32" s="1262">
        <f t="shared" si="4"/>
        <v>1</v>
      </c>
      <c r="AC32" s="1262">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73"/>
      <c r="Q33" s="1261" t="str">
        <f t="shared" si="11"/>
        <v>成新度</v>
      </c>
      <c r="R33" s="665" t="s">
        <v>14</v>
      </c>
      <c r="S33" s="666" t="e">
        <f t="shared" si="12"/>
        <v>#N/A</v>
      </c>
      <c r="T33" s="665" t="s">
        <v>14</v>
      </c>
      <c r="U33" s="666" t="e">
        <f t="shared" si="13"/>
        <v>#N/A</v>
      </c>
      <c r="V33" s="665" t="s">
        <v>14</v>
      </c>
      <c r="W33" s="666" t="e">
        <f t="shared" si="14"/>
        <v>#N/A</v>
      </c>
      <c r="X33" s="1263"/>
      <c r="Y33" s="3373"/>
      <c r="Z33" s="1262" t="str">
        <f t="shared" si="15"/>
        <v>成新度</v>
      </c>
      <c r="AA33" s="1262" t="e">
        <f t="shared" si="3"/>
        <v>#N/A</v>
      </c>
      <c r="AB33" s="1262" t="e">
        <f t="shared" si="4"/>
        <v>#N/A</v>
      </c>
      <c r="AC33" s="1262"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73"/>
      <c r="Q34" s="530" t="str">
        <f t="shared" si="11"/>
        <v>物业管理</v>
      </c>
      <c r="R34" s="662" t="s">
        <v>14</v>
      </c>
      <c r="S34" s="663">
        <f t="shared" si="12"/>
        <v>100</v>
      </c>
      <c r="T34" s="662" t="s">
        <v>14</v>
      </c>
      <c r="U34" s="663">
        <f t="shared" si="13"/>
        <v>100</v>
      </c>
      <c r="V34" s="662" t="s">
        <v>14</v>
      </c>
      <c r="W34" s="663">
        <f t="shared" si="14"/>
        <v>100</v>
      </c>
      <c r="X34" s="664"/>
      <c r="Y34" s="337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73" t="s">
        <v>1694</v>
      </c>
      <c r="Q35" s="1261" t="str">
        <f t="shared" si="11"/>
        <v>市政基础设施</v>
      </c>
      <c r="R35" s="665" t="s">
        <v>14</v>
      </c>
      <c r="S35" s="666">
        <f t="shared" si="12"/>
        <v>100</v>
      </c>
      <c r="T35" s="665" t="s">
        <v>14</v>
      </c>
      <c r="U35" s="666">
        <f t="shared" si="13"/>
        <v>100</v>
      </c>
      <c r="V35" s="665" t="s">
        <v>14</v>
      </c>
      <c r="W35" s="666">
        <f t="shared" si="14"/>
        <v>100</v>
      </c>
      <c r="X35" s="1263"/>
      <c r="Y35" s="3373" t="s">
        <v>1694</v>
      </c>
      <c r="Z35" s="1262" t="str">
        <f t="shared" si="15"/>
        <v>市政基础设施</v>
      </c>
      <c r="AA35" s="1262">
        <f t="shared" si="3"/>
        <v>1</v>
      </c>
      <c r="AB35" s="1262">
        <f t="shared" si="4"/>
        <v>1</v>
      </c>
      <c r="AC35" s="1262">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73"/>
      <c r="Q36" s="1261" t="str">
        <f t="shared" si="11"/>
        <v>内部装修</v>
      </c>
      <c r="R36" s="665" t="s">
        <v>14</v>
      </c>
      <c r="S36" s="666">
        <f t="shared" si="12"/>
        <v>100</v>
      </c>
      <c r="T36" s="665" t="s">
        <v>14</v>
      </c>
      <c r="U36" s="666">
        <f t="shared" si="13"/>
        <v>100</v>
      </c>
      <c r="V36" s="665" t="s">
        <v>14</v>
      </c>
      <c r="W36" s="666">
        <f t="shared" si="14"/>
        <v>100</v>
      </c>
      <c r="X36" s="1263"/>
      <c r="Y36" s="3373"/>
      <c r="Z36" s="1262" t="str">
        <f t="shared" si="15"/>
        <v>内部装修</v>
      </c>
      <c r="AA36" s="1262">
        <f t="shared" si="3"/>
        <v>1</v>
      </c>
      <c r="AB36" s="1262">
        <f t="shared" si="4"/>
        <v>1</v>
      </c>
      <c r="AC36" s="1262">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73"/>
      <c r="Q37" s="1261" t="str">
        <f t="shared" si="11"/>
        <v>内部装修状况</v>
      </c>
      <c r="R37" s="665" t="s">
        <v>14</v>
      </c>
      <c r="S37" s="666">
        <f t="shared" si="12"/>
        <v>100</v>
      </c>
      <c r="T37" s="665" t="s">
        <v>14</v>
      </c>
      <c r="U37" s="666">
        <f t="shared" si="13"/>
        <v>100</v>
      </c>
      <c r="V37" s="665" t="s">
        <v>14</v>
      </c>
      <c r="W37" s="666">
        <f t="shared" si="14"/>
        <v>100</v>
      </c>
      <c r="X37" s="1263"/>
      <c r="Y37" s="3373"/>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73"/>
      <c r="Q38" s="531">
        <f t="shared" si="11"/>
        <v>111</v>
      </c>
      <c r="R38" s="667" t="s">
        <v>14</v>
      </c>
      <c r="S38" s="668">
        <f t="shared" si="12"/>
        <v>100</v>
      </c>
      <c r="T38" s="667" t="s">
        <v>14</v>
      </c>
      <c r="U38" s="668">
        <f t="shared" si="13"/>
        <v>100</v>
      </c>
      <c r="V38" s="667" t="s">
        <v>14</v>
      </c>
      <c r="W38" s="668">
        <f t="shared" si="14"/>
        <v>100</v>
      </c>
      <c r="X38" s="669"/>
      <c r="Y38" s="3373"/>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73"/>
      <c r="Q39" s="1261">
        <f t="shared" si="11"/>
        <v>111</v>
      </c>
      <c r="R39" s="665" t="s">
        <v>14</v>
      </c>
      <c r="S39" s="666">
        <f t="shared" si="12"/>
        <v>100</v>
      </c>
      <c r="T39" s="665" t="s">
        <v>14</v>
      </c>
      <c r="U39" s="666">
        <f t="shared" si="13"/>
        <v>100</v>
      </c>
      <c r="V39" s="665" t="s">
        <v>14</v>
      </c>
      <c r="W39" s="666">
        <f t="shared" si="14"/>
        <v>100</v>
      </c>
      <c r="X39" s="1263"/>
      <c r="Y39" s="3373"/>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74"/>
      <c r="Q40" s="1261">
        <f t="shared" si="11"/>
        <v>111</v>
      </c>
      <c r="R40" s="665" t="s">
        <v>14</v>
      </c>
      <c r="S40" s="666">
        <f t="shared" si="12"/>
        <v>100</v>
      </c>
      <c r="T40" s="665" t="s">
        <v>14</v>
      </c>
      <c r="U40" s="666">
        <f t="shared" si="13"/>
        <v>100</v>
      </c>
      <c r="V40" s="665" t="s">
        <v>14</v>
      </c>
      <c r="W40" s="666">
        <f t="shared" si="14"/>
        <v>100</v>
      </c>
      <c r="X40" s="1263"/>
      <c r="Y40" s="3374"/>
      <c r="Z40" s="1262">
        <f t="shared" si="15"/>
        <v>111</v>
      </c>
      <c r="AA40" s="1262">
        <f t="shared" si="3"/>
        <v>1</v>
      </c>
      <c r="AB40" s="1262">
        <f t="shared" si="4"/>
        <v>1</v>
      </c>
      <c r="AC40" s="1262">
        <f t="shared" si="5"/>
        <v>1</v>
      </c>
    </row>
    <row r="41" spans="1:29" ht="14.4">
      <c r="A41" s="416" t="s">
        <v>1706</v>
      </c>
      <c r="B41" s="417"/>
      <c r="C41" s="1079" t="s">
        <v>0</v>
      </c>
      <c r="D41" s="418"/>
      <c r="E41" s="419"/>
      <c r="F41" s="420"/>
      <c r="G41" s="421"/>
      <c r="H41" s="422"/>
      <c r="I41" s="419"/>
      <c r="J41" s="422"/>
      <c r="K41" s="672"/>
      <c r="L41" s="871"/>
      <c r="M41" s="859"/>
      <c r="N41" s="859"/>
      <c r="O41" s="859"/>
      <c r="P41" s="3361" t="str">
        <f>A41</f>
        <v>成交单价（元/平方米）</v>
      </c>
      <c r="Q41" s="3361"/>
      <c r="R41" s="3362">
        <f>E41</f>
        <v>0</v>
      </c>
      <c r="S41" s="3362"/>
      <c r="T41" s="3362">
        <f>G41</f>
        <v>0</v>
      </c>
      <c r="U41" s="3362"/>
      <c r="V41" s="3362">
        <f>I41</f>
        <v>0</v>
      </c>
      <c r="W41" s="3362"/>
      <c r="X41" s="385"/>
      <c r="Y41" s="671"/>
      <c r="Z41" s="385"/>
      <c r="AA41" s="385"/>
      <c r="AB41" s="385"/>
      <c r="AC41" s="385"/>
    </row>
    <row r="42" spans="1:29" ht="15" thickBot="1">
      <c r="A42" s="423" t="s">
        <v>1791</v>
      </c>
      <c r="B42" s="424"/>
      <c r="C42" s="1080" t="e">
        <f>R43</f>
        <v>#DIV/0!</v>
      </c>
      <c r="D42" s="2139" t="s">
        <v>2135</v>
      </c>
      <c r="E42" s="1081" t="e">
        <f>R42</f>
        <v>#DIV/0!</v>
      </c>
      <c r="F42" s="2140"/>
      <c r="G42" s="1080" t="e">
        <f>T42</f>
        <v>#DIV/0!</v>
      </c>
      <c r="H42" s="2140"/>
      <c r="I42" s="1081" t="e">
        <f>V42</f>
        <v>#DIV/0!</v>
      </c>
      <c r="J42" s="2140"/>
      <c r="K42" s="2142">
        <f>F42+H42+J42</f>
        <v>0</v>
      </c>
      <c r="L42" s="871"/>
      <c r="M42" s="859"/>
      <c r="N42" s="859"/>
      <c r="O42" s="859"/>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 thickBot="1">
      <c r="A43" s="427" t="s">
        <v>1792</v>
      </c>
      <c r="B43" s="428"/>
      <c r="C43" s="351" t="e">
        <f>R43</f>
        <v>#DIV/0!</v>
      </c>
      <c r="D43" s="351"/>
      <c r="E43" s="351"/>
      <c r="F43" s="351"/>
      <c r="G43" s="351"/>
      <c r="H43" s="351"/>
      <c r="I43" s="351"/>
      <c r="J43" s="351"/>
      <c r="K43" s="673"/>
      <c r="L43" s="871"/>
      <c r="M43" s="859"/>
      <c r="N43" s="859"/>
      <c r="O43" s="859"/>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2.2" thickBot="1">
      <c r="A51" s="656" t="s">
        <v>1796</v>
      </c>
      <c r="B51" s="385"/>
      <c r="C51" s="657"/>
      <c r="D51" s="657"/>
      <c r="E51" s="657"/>
      <c r="F51" s="658"/>
      <c r="G51" s="658"/>
      <c r="H51" s="657"/>
      <c r="I51" s="657"/>
      <c r="J51" s="657"/>
      <c r="K51" s="885"/>
      <c r="L51" s="886"/>
      <c r="M51" s="884"/>
      <c r="N51" s="884"/>
      <c r="O51" s="884"/>
      <c r="P51" s="438"/>
      <c r="Q51" s="439"/>
    </row>
    <row r="52" spans="1:17" s="442" customFormat="1" ht="14.4">
      <c r="A52" s="440" t="s">
        <v>1677</v>
      </c>
      <c r="B52" s="441"/>
      <c r="C52" s="1101" t="str">
        <f>YEAR(C7)&amp;"-"&amp;MONTH(C7)</f>
        <v>2025-4</v>
      </c>
      <c r="D52" s="1102">
        <f>EDATE(C52,-1)</f>
        <v>45717</v>
      </c>
      <c r="E52" s="1102">
        <f t="shared" ref="E52:O52" si="16">EDATE(D52,-1)</f>
        <v>45689</v>
      </c>
      <c r="F52" s="1102">
        <f t="shared" si="16"/>
        <v>45658</v>
      </c>
      <c r="G52" s="1102">
        <f t="shared" si="16"/>
        <v>45627</v>
      </c>
      <c r="H52" s="1102">
        <f t="shared" si="16"/>
        <v>45597</v>
      </c>
      <c r="I52" s="1102">
        <f t="shared" si="16"/>
        <v>45566</v>
      </c>
      <c r="J52" s="1102">
        <f t="shared" si="16"/>
        <v>45536</v>
      </c>
      <c r="K52" s="1102">
        <f t="shared" si="16"/>
        <v>45505</v>
      </c>
      <c r="L52" s="1102">
        <f t="shared" si="16"/>
        <v>45474</v>
      </c>
      <c r="M52" s="1102">
        <f t="shared" si="16"/>
        <v>45444</v>
      </c>
      <c r="N52" s="1102">
        <f t="shared" si="16"/>
        <v>45413</v>
      </c>
      <c r="O52" s="1102">
        <f t="shared" si="16"/>
        <v>45383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6"/>
      <c r="O54" s="2537"/>
      <c r="P54" s="439"/>
      <c r="Q54" s="439"/>
    </row>
    <row r="55" spans="1:17" s="102" customFormat="1" ht="14.4">
      <c r="A55" s="455" t="s">
        <v>1679</v>
      </c>
      <c r="B55" s="444"/>
      <c r="C55" s="456" t="s">
        <v>1774</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1717</v>
      </c>
      <c r="B57" s="460" t="s">
        <v>1683</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1686</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1692</v>
      </c>
      <c r="B88" s="460" t="s">
        <v>1734</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1736</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1738</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1739</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1740</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1742</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3330</v>
      </c>
      <c r="C1" s="1139" t="s">
        <v>1660</v>
      </c>
      <c r="D1" s="1140"/>
      <c r="E1" s="3129"/>
      <c r="F1" s="1733"/>
      <c r="G1" s="1142" t="s">
        <v>1765</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5"/>
      <c r="L2" s="2501"/>
      <c r="M2" s="2502"/>
      <c r="N2" s="2502"/>
      <c r="O2" s="2502"/>
      <c r="P2" s="1084"/>
      <c r="Q2" s="341"/>
      <c r="R2" s="341"/>
      <c r="S2" s="341"/>
      <c r="T2" s="341"/>
      <c r="U2" s="341"/>
      <c r="V2" s="341"/>
      <c r="W2" s="341"/>
      <c r="X2" s="341"/>
      <c r="Y2" s="341"/>
      <c r="Z2" s="341"/>
      <c r="AA2" s="341"/>
      <c r="AB2" s="341"/>
      <c r="AC2" s="661"/>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4"/>
      <c r="AC3" s="661"/>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466" t="s">
        <v>1773</v>
      </c>
      <c r="Q4" s="3467"/>
      <c r="R4" s="3470" t="s">
        <v>1769</v>
      </c>
      <c r="S4" s="3471"/>
      <c r="T4" s="3470" t="s">
        <v>1770</v>
      </c>
      <c r="U4" s="3471"/>
      <c r="V4" s="3362" t="s">
        <v>1771</v>
      </c>
      <c r="W4" s="3362"/>
      <c r="X4" s="1263"/>
      <c r="Y4" s="3470" t="s">
        <v>1773</v>
      </c>
      <c r="Z4" s="3471"/>
      <c r="AA4" s="3465" t="s">
        <v>1769</v>
      </c>
      <c r="AB4" s="3407" t="s">
        <v>1770</v>
      </c>
      <c r="AC4" s="3465" t="s">
        <v>1771</v>
      </c>
    </row>
    <row r="5" spans="1:29">
      <c r="A5" s="348"/>
      <c r="B5" s="349"/>
      <c r="C5" s="3403" t="s">
        <v>1671</v>
      </c>
      <c r="D5" s="3398"/>
      <c r="E5" s="3472" t="s">
        <v>1672</v>
      </c>
      <c r="F5" s="3410"/>
      <c r="G5" s="3403" t="s">
        <v>1673</v>
      </c>
      <c r="H5" s="3398"/>
      <c r="I5" s="3403" t="s">
        <v>1674</v>
      </c>
      <c r="J5" s="3398"/>
      <c r="K5" s="537"/>
      <c r="L5" s="2484"/>
      <c r="M5" s="2485"/>
      <c r="N5" s="2485"/>
      <c r="O5" s="2485"/>
      <c r="P5" s="3468"/>
      <c r="Q5" s="3385"/>
      <c r="R5" s="3390"/>
      <c r="S5" s="3391"/>
      <c r="T5" s="3390"/>
      <c r="U5" s="3391"/>
      <c r="V5" s="3362"/>
      <c r="W5" s="3362"/>
      <c r="X5" s="1263"/>
      <c r="Y5" s="3390"/>
      <c r="Z5" s="3391"/>
      <c r="AA5" s="3407"/>
      <c r="AB5" s="3407"/>
      <c r="AC5" s="3407"/>
    </row>
    <row r="6" spans="1:29" ht="15" thickBot="1">
      <c r="A6" s="350"/>
      <c r="B6" s="351"/>
      <c r="C6" s="3395" t="s">
        <v>1675</v>
      </c>
      <c r="D6" s="3396"/>
      <c r="E6" s="3404" t="s">
        <v>1675</v>
      </c>
      <c r="F6" s="3405"/>
      <c r="G6" s="3395" t="s">
        <v>1675</v>
      </c>
      <c r="H6" s="3396"/>
      <c r="I6" s="3395" t="s">
        <v>1675</v>
      </c>
      <c r="J6" s="3396"/>
      <c r="K6" s="537" t="s">
        <v>1676</v>
      </c>
      <c r="L6" s="2484"/>
      <c r="M6" s="2485"/>
      <c r="N6" s="2485"/>
      <c r="O6" s="2485"/>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1" t="s">
        <v>1678</v>
      </c>
      <c r="Q7" s="3402"/>
      <c r="R7" s="662" t="s">
        <v>14</v>
      </c>
      <c r="S7" s="663">
        <f t="shared" ref="S7:S14" si="0">F7</f>
        <v>0</v>
      </c>
      <c r="T7" s="662" t="s">
        <v>14</v>
      </c>
      <c r="U7" s="663">
        <f t="shared" ref="U7:U14" si="1">H7</f>
        <v>0</v>
      </c>
      <c r="V7" s="662" t="s">
        <v>14</v>
      </c>
      <c r="W7" s="663">
        <f t="shared" ref="W7:W14" si="2">J7</f>
        <v>0</v>
      </c>
      <c r="X7" s="664"/>
      <c r="Y7" s="3401" t="s">
        <v>1678</v>
      </c>
      <c r="Z7" s="3400"/>
      <c r="AA7" s="50" t="e">
        <f>D7/F7</f>
        <v>#DIV/0!</v>
      </c>
      <c r="AB7" s="50" t="e">
        <f>D7/H7</f>
        <v>#DIV/0!</v>
      </c>
      <c r="AC7" s="50" t="e">
        <f>D7/J7</f>
        <v>#DIV/0!</v>
      </c>
    </row>
    <row r="8" spans="1:29" s="102" customFormat="1" ht="1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1" t="s">
        <v>1681</v>
      </c>
      <c r="Q8" s="3400"/>
      <c r="R8" s="662" t="s">
        <v>14</v>
      </c>
      <c r="S8" s="663">
        <f t="shared" si="0"/>
        <v>100</v>
      </c>
      <c r="T8" s="662" t="s">
        <v>14</v>
      </c>
      <c r="U8" s="663">
        <f t="shared" si="1"/>
        <v>100</v>
      </c>
      <c r="V8" s="662" t="s">
        <v>14</v>
      </c>
      <c r="W8" s="663">
        <f t="shared" si="2"/>
        <v>100</v>
      </c>
      <c r="X8" s="664"/>
      <c r="Y8" s="3401" t="s">
        <v>1681</v>
      </c>
      <c r="Z8" s="3400"/>
      <c r="AA8" s="50">
        <f t="shared" ref="AA8:AA36" si="3">D8/F8</f>
        <v>1</v>
      </c>
      <c r="AB8" s="50">
        <f t="shared" ref="AB8:AB36" si="4">D8/H8</f>
        <v>1</v>
      </c>
      <c r="AC8" s="50">
        <f t="shared" ref="AC8:AC36" si="5">D8/J8</f>
        <v>1</v>
      </c>
    </row>
    <row r="9" spans="1:29" s="102" customFormat="1" ht="14.4">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1" t="s">
        <v>1684</v>
      </c>
      <c r="Q9" s="530" t="str">
        <f t="shared" ref="Q9:Q14" si="6">B9</f>
        <v>用途</v>
      </c>
      <c r="R9" s="662" t="s">
        <v>14</v>
      </c>
      <c r="S9" s="663">
        <f t="shared" si="0"/>
        <v>100</v>
      </c>
      <c r="T9" s="662" t="s">
        <v>14</v>
      </c>
      <c r="U9" s="663">
        <f t="shared" si="1"/>
        <v>100</v>
      </c>
      <c r="V9" s="662" t="s">
        <v>14</v>
      </c>
      <c r="W9" s="663">
        <f t="shared" si="2"/>
        <v>100</v>
      </c>
      <c r="X9" s="664"/>
      <c r="Y9" s="3264" t="s">
        <v>1685</v>
      </c>
      <c r="Z9" s="50" t="str">
        <f t="shared" ref="Z9:Z14" si="7">Q9</f>
        <v>用途</v>
      </c>
      <c r="AA9" s="50">
        <f t="shared" si="3"/>
        <v>1</v>
      </c>
      <c r="AB9" s="50">
        <f t="shared" si="4"/>
        <v>1</v>
      </c>
      <c r="AC9" s="50">
        <f t="shared" si="5"/>
        <v>1</v>
      </c>
    </row>
    <row r="10" spans="1:29" s="366" customFormat="1" ht="28.8">
      <c r="A10" s="565"/>
      <c r="B10" s="566" t="s">
        <v>1686</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1"/>
      <c r="Q10" s="530" t="str">
        <f t="shared" si="6"/>
        <v>土地使用年限（年）</v>
      </c>
      <c r="R10" s="662" t="s">
        <v>14</v>
      </c>
      <c r="S10" s="663">
        <f t="shared" si="0"/>
        <v>100</v>
      </c>
      <c r="T10" s="662" t="s">
        <v>14</v>
      </c>
      <c r="U10" s="663">
        <f t="shared" si="1"/>
        <v>100</v>
      </c>
      <c r="V10" s="662" t="s">
        <v>14</v>
      </c>
      <c r="W10" s="663">
        <f t="shared" si="2"/>
        <v>100</v>
      </c>
      <c r="X10" s="664"/>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1"/>
      <c r="Q11" s="530">
        <f t="shared" si="6"/>
        <v>111</v>
      </c>
      <c r="R11" s="662" t="s">
        <v>14</v>
      </c>
      <c r="S11" s="663">
        <f t="shared" si="0"/>
        <v>100</v>
      </c>
      <c r="T11" s="662" t="s">
        <v>14</v>
      </c>
      <c r="U11" s="663">
        <f t="shared" si="1"/>
        <v>100</v>
      </c>
      <c r="V11" s="662" t="s">
        <v>14</v>
      </c>
      <c r="W11" s="663">
        <f t="shared" si="2"/>
        <v>100</v>
      </c>
      <c r="X11" s="664"/>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1"/>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1"/>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50">
        <f t="shared" si="5"/>
        <v>1</v>
      </c>
    </row>
    <row r="14" spans="1:29" ht="96.6">
      <c r="A14" s="345" t="s">
        <v>1688</v>
      </c>
      <c r="B14" s="554" t="s">
        <v>1831</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8" t="s">
        <v>1689</v>
      </c>
      <c r="Q14" s="1261" t="str">
        <f t="shared" si="6"/>
        <v>交通便捷度</v>
      </c>
      <c r="R14" s="665" t="s">
        <v>14</v>
      </c>
      <c r="S14" s="666">
        <f t="shared" si="0"/>
        <v>100</v>
      </c>
      <c r="T14" s="665" t="s">
        <v>14</v>
      </c>
      <c r="U14" s="666">
        <f t="shared" si="1"/>
        <v>100</v>
      </c>
      <c r="V14" s="665" t="s">
        <v>14</v>
      </c>
      <c r="W14" s="666">
        <f t="shared" si="2"/>
        <v>100</v>
      </c>
      <c r="X14" s="1263"/>
      <c r="Y14" s="3368" t="s">
        <v>1689</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0"/>
      <c r="M15" s="2485"/>
      <c r="N15" s="2485"/>
      <c r="O15" s="2485"/>
      <c r="P15" s="3369"/>
      <c r="Q15" s="1261"/>
      <c r="R15" s="665"/>
      <c r="S15" s="666"/>
      <c r="T15" s="665"/>
      <c r="U15" s="666"/>
      <c r="V15" s="665"/>
      <c r="W15" s="666"/>
      <c r="X15" s="1263"/>
      <c r="Y15" s="3369"/>
      <c r="Z15" s="1262"/>
      <c r="AA15" s="1262">
        <v>1</v>
      </c>
      <c r="AB15" s="1262">
        <v>1</v>
      </c>
      <c r="AC15" s="1262">
        <v>1</v>
      </c>
    </row>
    <row r="16" spans="1:29" ht="41.4">
      <c r="A16" s="348"/>
      <c r="B16" s="556" t="s">
        <v>1810</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9"/>
      <c r="Q16" s="1261" t="str">
        <f>B16</f>
        <v>公共配套设施</v>
      </c>
      <c r="R16" s="665" t="s">
        <v>14</v>
      </c>
      <c r="S16" s="666">
        <f>F16</f>
        <v>100</v>
      </c>
      <c r="T16" s="665" t="s">
        <v>14</v>
      </c>
      <c r="U16" s="666">
        <f>H16</f>
        <v>100</v>
      </c>
      <c r="V16" s="665" t="s">
        <v>14</v>
      </c>
      <c r="W16" s="666">
        <f>J16</f>
        <v>100</v>
      </c>
      <c r="X16" s="1263"/>
      <c r="Y16" s="3369"/>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0"/>
      <c r="M17" s="2485"/>
      <c r="N17" s="2485"/>
      <c r="O17" s="2485"/>
      <c r="P17" s="3369"/>
      <c r="Q17" s="1261"/>
      <c r="R17" s="665"/>
      <c r="S17" s="666"/>
      <c r="T17" s="665"/>
      <c r="U17" s="666"/>
      <c r="V17" s="665"/>
      <c r="W17" s="666"/>
      <c r="X17" s="1263"/>
      <c r="Y17" s="3369"/>
      <c r="Z17" s="1262"/>
      <c r="AA17" s="1262">
        <v>1</v>
      </c>
      <c r="AB17" s="1262">
        <v>1</v>
      </c>
      <c r="AC17" s="1262">
        <v>1</v>
      </c>
    </row>
    <row r="18" spans="1:29" ht="41.4">
      <c r="A18" s="348"/>
      <c r="B18" s="557" t="s">
        <v>1811</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9"/>
      <c r="Q18" s="1261" t="str">
        <f>B18</f>
        <v>基础设施水平</v>
      </c>
      <c r="R18" s="665" t="s">
        <v>14</v>
      </c>
      <c r="S18" s="666">
        <f>F18</f>
        <v>100</v>
      </c>
      <c r="T18" s="665" t="s">
        <v>14</v>
      </c>
      <c r="U18" s="666">
        <f>H18</f>
        <v>100</v>
      </c>
      <c r="V18" s="665" t="s">
        <v>14</v>
      </c>
      <c r="W18" s="666">
        <f>J18</f>
        <v>100</v>
      </c>
      <c r="X18" s="1263"/>
      <c r="Y18" s="3369"/>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0"/>
      <c r="M19" s="2485"/>
      <c r="N19" s="2485"/>
      <c r="O19" s="2485"/>
      <c r="P19" s="3369"/>
      <c r="Q19" s="1261"/>
      <c r="R19" s="665"/>
      <c r="S19" s="666"/>
      <c r="T19" s="665"/>
      <c r="U19" s="666"/>
      <c r="V19" s="665"/>
      <c r="W19" s="666"/>
      <c r="X19" s="1263"/>
      <c r="Y19" s="3369"/>
      <c r="Z19" s="1262"/>
      <c r="AA19" s="1262">
        <v>1</v>
      </c>
      <c r="AB19" s="1262">
        <v>1</v>
      </c>
      <c r="AC19" s="1262">
        <v>1</v>
      </c>
    </row>
    <row r="20" spans="1:29" ht="55.2">
      <c r="A20" s="348"/>
      <c r="B20" s="556" t="s">
        <v>1832</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9"/>
      <c r="Q20" s="1261" t="str">
        <f>B20</f>
        <v>自然及人文环境</v>
      </c>
      <c r="R20" s="665" t="s">
        <v>14</v>
      </c>
      <c r="S20" s="666">
        <f>F20</f>
        <v>100</v>
      </c>
      <c r="T20" s="665" t="s">
        <v>14</v>
      </c>
      <c r="U20" s="666">
        <f>H20</f>
        <v>100</v>
      </c>
      <c r="V20" s="665" t="s">
        <v>14</v>
      </c>
      <c r="W20" s="666">
        <f>J20</f>
        <v>100</v>
      </c>
      <c r="X20" s="1263"/>
      <c r="Y20" s="3369"/>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0"/>
      <c r="M21" s="2485"/>
      <c r="N21" s="2485"/>
      <c r="O21" s="2485"/>
      <c r="P21" s="3369"/>
      <c r="Q21" s="1261"/>
      <c r="R21" s="665"/>
      <c r="S21" s="666"/>
      <c r="T21" s="665"/>
      <c r="U21" s="666"/>
      <c r="V21" s="665"/>
      <c r="W21" s="666"/>
      <c r="X21" s="1263"/>
      <c r="Y21" s="3369"/>
      <c r="Z21" s="1262"/>
      <c r="AA21" s="1262">
        <v>1</v>
      </c>
      <c r="AB21" s="1262">
        <v>1</v>
      </c>
      <c r="AC21" s="1262">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9"/>
      <c r="Q22" s="1261" t="str">
        <f>B22</f>
        <v>楼层</v>
      </c>
      <c r="R22" s="665" t="s">
        <v>14</v>
      </c>
      <c r="S22" s="666">
        <f>F22</f>
        <v>100</v>
      </c>
      <c r="T22" s="665" t="s">
        <v>14</v>
      </c>
      <c r="U22" s="666">
        <f>H22</f>
        <v>100</v>
      </c>
      <c r="V22" s="665" t="s">
        <v>14</v>
      </c>
      <c r="W22" s="666">
        <f>J22</f>
        <v>100</v>
      </c>
      <c r="X22" s="1263"/>
      <c r="Y22" s="3369"/>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9"/>
      <c r="Q23" s="1261">
        <f>B23</f>
        <v>111</v>
      </c>
      <c r="R23" s="665" t="s">
        <v>14</v>
      </c>
      <c r="S23" s="666">
        <f>F23</f>
        <v>100</v>
      </c>
      <c r="T23" s="665" t="s">
        <v>14</v>
      </c>
      <c r="U23" s="666">
        <f>H23</f>
        <v>100</v>
      </c>
      <c r="V23" s="665" t="s">
        <v>14</v>
      </c>
      <c r="W23" s="666">
        <f>J23</f>
        <v>100</v>
      </c>
      <c r="X23" s="1263"/>
      <c r="Y23" s="3369"/>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9"/>
      <c r="Q24" s="1261">
        <f t="shared" ref="Q24:Q36" si="11">B24</f>
        <v>111</v>
      </c>
      <c r="R24" s="665" t="s">
        <v>14</v>
      </c>
      <c r="S24" s="666">
        <f>F24</f>
        <v>100</v>
      </c>
      <c r="T24" s="665" t="s">
        <v>14</v>
      </c>
      <c r="U24" s="666">
        <f>H24</f>
        <v>100</v>
      </c>
      <c r="V24" s="665" t="s">
        <v>14</v>
      </c>
      <c r="W24" s="666">
        <f>J24</f>
        <v>100</v>
      </c>
      <c r="X24" s="1263"/>
      <c r="Y24" s="3369"/>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9"/>
      <c r="Q25" s="530">
        <f t="shared" si="11"/>
        <v>111</v>
      </c>
      <c r="R25" s="662" t="s">
        <v>14</v>
      </c>
      <c r="S25" s="663">
        <f>F25</f>
        <v>100</v>
      </c>
      <c r="T25" s="662" t="s">
        <v>14</v>
      </c>
      <c r="U25" s="663">
        <f>H25</f>
        <v>100</v>
      </c>
      <c r="V25" s="662" t="s">
        <v>14</v>
      </c>
      <c r="W25" s="663">
        <f>J25</f>
        <v>100</v>
      </c>
      <c r="X25" s="664"/>
      <c r="Y25" s="3369"/>
      <c r="Z25" s="50">
        <f>Q25</f>
        <v>111</v>
      </c>
      <c r="AA25" s="1262">
        <f>D25/F25</f>
        <v>1</v>
      </c>
      <c r="AB25" s="1262">
        <f>D25/H25</f>
        <v>1</v>
      </c>
      <c r="AC25" s="1262">
        <f>D25/J25</f>
        <v>1</v>
      </c>
    </row>
    <row r="26" spans="1:29" ht="30">
      <c r="A26" s="574" t="s">
        <v>1692</v>
      </c>
      <c r="B26" s="59" t="s">
        <v>1834</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3" t="s">
        <v>1694</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373" t="s">
        <v>1694</v>
      </c>
      <c r="Z26" s="1262" t="str">
        <f t="shared" ref="Z26:Z36" si="15">Q26</f>
        <v>配套类型</v>
      </c>
      <c r="AA26" s="1262" t="e">
        <f t="shared" si="3"/>
        <v>#DIV/0!</v>
      </c>
      <c r="AB26" s="1262" t="e">
        <f t="shared" si="4"/>
        <v>#DIV/0!</v>
      </c>
      <c r="AC26" s="1262"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3"/>
      <c r="Q27" s="531" t="str">
        <f t="shared" si="11"/>
        <v>项目停车位配比</v>
      </c>
      <c r="R27" s="667" t="s">
        <v>14</v>
      </c>
      <c r="S27" s="668">
        <f t="shared" si="12"/>
        <v>100</v>
      </c>
      <c r="T27" s="667" t="s">
        <v>14</v>
      </c>
      <c r="U27" s="668">
        <f t="shared" si="13"/>
        <v>100</v>
      </c>
      <c r="V27" s="667" t="s">
        <v>14</v>
      </c>
      <c r="W27" s="668">
        <f t="shared" si="14"/>
        <v>100</v>
      </c>
      <c r="X27" s="669"/>
      <c r="Y27" s="3373"/>
      <c r="Z27" s="670" t="str">
        <f t="shared" si="15"/>
        <v>项目停车位配比</v>
      </c>
      <c r="AA27" s="1262">
        <f t="shared" si="3"/>
        <v>1</v>
      </c>
      <c r="AB27" s="1262">
        <f t="shared" si="4"/>
        <v>1</v>
      </c>
      <c r="AC27" s="1262">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3"/>
      <c r="Q28" s="1261" t="str">
        <f t="shared" si="11"/>
        <v>公共部分装修</v>
      </c>
      <c r="R28" s="665" t="s">
        <v>14</v>
      </c>
      <c r="S28" s="666">
        <f t="shared" si="12"/>
        <v>100</v>
      </c>
      <c r="T28" s="665" t="s">
        <v>14</v>
      </c>
      <c r="U28" s="666">
        <f t="shared" si="13"/>
        <v>100</v>
      </c>
      <c r="V28" s="665" t="s">
        <v>14</v>
      </c>
      <c r="W28" s="666">
        <f t="shared" si="14"/>
        <v>100</v>
      </c>
      <c r="X28" s="1263"/>
      <c r="Y28" s="3373"/>
      <c r="Z28" s="1262" t="str">
        <f t="shared" si="15"/>
        <v>公共部分装修</v>
      </c>
      <c r="AA28" s="1262">
        <f t="shared" si="3"/>
        <v>1</v>
      </c>
      <c r="AB28" s="1262">
        <f t="shared" si="4"/>
        <v>1</v>
      </c>
      <c r="AC28" s="1262">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3"/>
      <c r="Q29" s="1261" t="str">
        <f t="shared" si="11"/>
        <v>成新率</v>
      </c>
      <c r="R29" s="665" t="s">
        <v>14</v>
      </c>
      <c r="S29" s="666" t="e">
        <f t="shared" si="12"/>
        <v>#N/A</v>
      </c>
      <c r="T29" s="665" t="s">
        <v>14</v>
      </c>
      <c r="U29" s="666" t="e">
        <f t="shared" si="13"/>
        <v>#N/A</v>
      </c>
      <c r="V29" s="665" t="s">
        <v>14</v>
      </c>
      <c r="W29" s="666" t="e">
        <f t="shared" si="14"/>
        <v>#N/A</v>
      </c>
      <c r="X29" s="1263"/>
      <c r="Y29" s="3373"/>
      <c r="Z29" s="1262" t="str">
        <f t="shared" si="15"/>
        <v>成新率</v>
      </c>
      <c r="AA29" s="1262" t="e">
        <f t="shared" si="3"/>
        <v>#N/A</v>
      </c>
      <c r="AB29" s="1262" t="e">
        <f t="shared" si="4"/>
        <v>#N/A</v>
      </c>
      <c r="AC29" s="1262"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3"/>
      <c r="Q30" s="1261" t="str">
        <f t="shared" si="11"/>
        <v>物业等级</v>
      </c>
      <c r="R30" s="665" t="s">
        <v>14</v>
      </c>
      <c r="S30" s="666">
        <f t="shared" si="12"/>
        <v>100</v>
      </c>
      <c r="T30" s="665" t="s">
        <v>14</v>
      </c>
      <c r="U30" s="666">
        <f t="shared" si="13"/>
        <v>100</v>
      </c>
      <c r="V30" s="665" t="s">
        <v>14</v>
      </c>
      <c r="W30" s="666">
        <f t="shared" si="14"/>
        <v>100</v>
      </c>
      <c r="X30" s="1263"/>
      <c r="Y30" s="3373"/>
      <c r="Z30" s="1262" t="str">
        <f t="shared" si="15"/>
        <v>物业等级</v>
      </c>
      <c r="AA30" s="1262">
        <f t="shared" si="3"/>
        <v>1</v>
      </c>
      <c r="AB30" s="1262">
        <f t="shared" si="4"/>
        <v>1</v>
      </c>
      <c r="AC30" s="1262">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3"/>
      <c r="Q31" s="530" t="str">
        <f t="shared" si="11"/>
        <v>停车位面积</v>
      </c>
      <c r="R31" s="662" t="s">
        <v>14</v>
      </c>
      <c r="S31" s="663" t="e">
        <f t="shared" si="12"/>
        <v>#N/A</v>
      </c>
      <c r="T31" s="662" t="s">
        <v>14</v>
      </c>
      <c r="U31" s="663" t="e">
        <f t="shared" si="13"/>
        <v>#N/A</v>
      </c>
      <c r="V31" s="662" t="s">
        <v>14</v>
      </c>
      <c r="W31" s="663" t="e">
        <f t="shared" si="14"/>
        <v>#N/A</v>
      </c>
      <c r="X31" s="664"/>
      <c r="Y31" s="337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3" t="s">
        <v>1694</v>
      </c>
      <c r="Q32" s="1261" t="str">
        <f t="shared" si="11"/>
        <v>车位类型</v>
      </c>
      <c r="R32" s="665" t="s">
        <v>14</v>
      </c>
      <c r="S32" s="666">
        <f t="shared" si="12"/>
        <v>100</v>
      </c>
      <c r="T32" s="665" t="s">
        <v>14</v>
      </c>
      <c r="U32" s="666">
        <f t="shared" si="13"/>
        <v>100</v>
      </c>
      <c r="V32" s="665" t="s">
        <v>14</v>
      </c>
      <c r="W32" s="666">
        <f t="shared" si="14"/>
        <v>100</v>
      </c>
      <c r="X32" s="1263"/>
      <c r="Y32" s="3373" t="s">
        <v>1694</v>
      </c>
      <c r="Z32" s="1262" t="str">
        <f t="shared" si="15"/>
        <v>车位类型</v>
      </c>
      <c r="AA32" s="1262">
        <f t="shared" si="3"/>
        <v>1</v>
      </c>
      <c r="AB32" s="1262">
        <f t="shared" si="4"/>
        <v>1</v>
      </c>
      <c r="AC32" s="1262">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3"/>
      <c r="Q33" s="1261" t="str">
        <f t="shared" si="11"/>
        <v>是否直接入户</v>
      </c>
      <c r="R33" s="665" t="s">
        <v>14</v>
      </c>
      <c r="S33" s="666">
        <f t="shared" si="12"/>
        <v>100</v>
      </c>
      <c r="T33" s="665" t="s">
        <v>14</v>
      </c>
      <c r="U33" s="666">
        <f t="shared" si="13"/>
        <v>100</v>
      </c>
      <c r="V33" s="665" t="s">
        <v>14</v>
      </c>
      <c r="W33" s="666">
        <f t="shared" si="14"/>
        <v>100</v>
      </c>
      <c r="X33" s="1263"/>
      <c r="Y33" s="3373"/>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3"/>
      <c r="Q35" s="531">
        <f t="shared" si="11"/>
        <v>111</v>
      </c>
      <c r="R35" s="667" t="s">
        <v>14</v>
      </c>
      <c r="S35" s="668">
        <f t="shared" si="12"/>
        <v>100</v>
      </c>
      <c r="T35" s="667" t="s">
        <v>14</v>
      </c>
      <c r="U35" s="668">
        <f t="shared" si="13"/>
        <v>100</v>
      </c>
      <c r="V35" s="667" t="s">
        <v>14</v>
      </c>
      <c r="W35" s="668">
        <f t="shared" si="14"/>
        <v>100</v>
      </c>
      <c r="X35" s="669"/>
      <c r="Y35" s="3373"/>
      <c r="Z35" s="670">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3"/>
      <c r="Q36" s="1261">
        <f t="shared" si="11"/>
        <v>111</v>
      </c>
      <c r="R36" s="665" t="s">
        <v>14</v>
      </c>
      <c r="S36" s="666">
        <f t="shared" si="12"/>
        <v>100</v>
      </c>
      <c r="T36" s="665" t="s">
        <v>14</v>
      </c>
      <c r="U36" s="666">
        <f t="shared" si="13"/>
        <v>100</v>
      </c>
      <c r="V36" s="665" t="s">
        <v>14</v>
      </c>
      <c r="W36" s="666">
        <f t="shared" si="14"/>
        <v>100</v>
      </c>
      <c r="X36" s="1263"/>
      <c r="Y36" s="3373"/>
      <c r="Z36" s="1262">
        <f t="shared" si="15"/>
        <v>111</v>
      </c>
      <c r="AA36" s="1262">
        <f t="shared" si="3"/>
        <v>1</v>
      </c>
      <c r="AB36" s="1262">
        <f t="shared" si="4"/>
        <v>1</v>
      </c>
      <c r="AC36" s="1262">
        <f t="shared" si="5"/>
        <v>1</v>
      </c>
    </row>
    <row r="37" spans="1:29" ht="14.4">
      <c r="A37" s="416" t="s">
        <v>1842</v>
      </c>
      <c r="B37" s="1819" t="s">
        <v>3351</v>
      </c>
      <c r="C37" s="1079" t="s">
        <v>0</v>
      </c>
      <c r="D37" s="418"/>
      <c r="E37" s="419"/>
      <c r="F37" s="420"/>
      <c r="G37" s="421"/>
      <c r="H37" s="422"/>
      <c r="I37" s="419"/>
      <c r="J37" s="422"/>
      <c r="K37" s="545"/>
      <c r="L37" s="2492"/>
      <c r="M37" s="2485"/>
      <c r="N37" s="2485"/>
      <c r="O37" s="2485"/>
      <c r="P37" s="3361" t="str">
        <f>A37</f>
        <v>成交单价</v>
      </c>
      <c r="Q37" s="3361"/>
      <c r="R37" s="3362">
        <f>E37</f>
        <v>0</v>
      </c>
      <c r="S37" s="3362"/>
      <c r="T37" s="3362">
        <f>G37</f>
        <v>0</v>
      </c>
      <c r="U37" s="3362"/>
      <c r="V37" s="3362">
        <f>I37</f>
        <v>0</v>
      </c>
      <c r="W37" s="3362"/>
      <c r="X37" s="385"/>
      <c r="Y37" s="671"/>
      <c r="Z37" s="385"/>
      <c r="AA37" s="385"/>
      <c r="AB37" s="385"/>
      <c r="AC37" s="385"/>
    </row>
    <row r="38" spans="1:29" ht="15" thickBot="1">
      <c r="A38" s="423" t="s">
        <v>1843</v>
      </c>
      <c r="B38" s="424" t="str">
        <f>B37</f>
        <v>元/平方米</v>
      </c>
      <c r="C38" s="1080" t="e">
        <f>R39</f>
        <v>#DIV/0!</v>
      </c>
      <c r="D38" s="2139" t="s">
        <v>2135</v>
      </c>
      <c r="E38" s="1081" t="e">
        <f>R38</f>
        <v>#DIV/0!</v>
      </c>
      <c r="F38" s="2140"/>
      <c r="G38" s="1080" t="e">
        <f>T38</f>
        <v>#DIV/0!</v>
      </c>
      <c r="H38" s="2140"/>
      <c r="I38" s="1081" t="e">
        <f>V38</f>
        <v>#DIV/0!</v>
      </c>
      <c r="J38" s="2140"/>
      <c r="K38" s="2142">
        <f>F38+H38+J38</f>
        <v>0</v>
      </c>
      <c r="L38" s="2492"/>
      <c r="M38" s="2485"/>
      <c r="N38" s="2485"/>
      <c r="O38" s="2485"/>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 thickBot="1">
      <c r="A39" s="427" t="s">
        <v>1844</v>
      </c>
      <c r="B39" s="428"/>
      <c r="C39" s="351" t="e">
        <f>R39</f>
        <v>#DIV/0!</v>
      </c>
      <c r="D39" s="351"/>
      <c r="E39" s="351"/>
      <c r="F39" s="351"/>
      <c r="G39" s="351"/>
      <c r="H39" s="351"/>
      <c r="I39" s="351"/>
      <c r="J39" s="351"/>
      <c r="K39" s="546"/>
      <c r="L39" s="2492"/>
      <c r="M39" s="2485"/>
      <c r="N39" s="2485"/>
      <c r="O39" s="2485"/>
      <c r="P39" s="3462" t="str">
        <f>A39</f>
        <v>估价对象XX用房的比较价值（楼面单价，元/平方米）</v>
      </c>
      <c r="Q39" s="3463"/>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1848</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4.4">
      <c r="A48" s="440" t="s">
        <v>1849</v>
      </c>
      <c r="B48" s="441"/>
      <c r="C48" s="1101" t="str">
        <f>YEAR(C7)&amp;"-"&amp;MONTH(C7)</f>
        <v>2025-4</v>
      </c>
      <c r="D48" s="1102">
        <f>EDATE(C48,-1)</f>
        <v>45717</v>
      </c>
      <c r="E48" s="1102">
        <f t="shared" ref="E48:O48" si="16">EDATE(D48,-1)</f>
        <v>45689</v>
      </c>
      <c r="F48" s="1102">
        <f t="shared" si="16"/>
        <v>45658</v>
      </c>
      <c r="G48" s="1102">
        <f t="shared" si="16"/>
        <v>45627</v>
      </c>
      <c r="H48" s="1102">
        <f t="shared" si="16"/>
        <v>45597</v>
      </c>
      <c r="I48" s="1102">
        <f t="shared" si="16"/>
        <v>45566</v>
      </c>
      <c r="J48" s="1102">
        <f t="shared" si="16"/>
        <v>45536</v>
      </c>
      <c r="K48" s="1102">
        <f t="shared" si="16"/>
        <v>45505</v>
      </c>
      <c r="L48" s="1102">
        <f t="shared" si="16"/>
        <v>45474</v>
      </c>
      <c r="M48" s="1102">
        <f t="shared" si="16"/>
        <v>45444</v>
      </c>
      <c r="N48" s="1102">
        <f t="shared" si="16"/>
        <v>45413</v>
      </c>
      <c r="O48" s="1102">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5">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1714</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1679</v>
      </c>
      <c r="B51" s="444"/>
      <c r="C51" s="456" t="s">
        <v>1774</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1717</v>
      </c>
      <c r="B53" s="460" t="s">
        <v>1683</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1686</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1725</v>
      </c>
      <c r="C65" s="509" t="s">
        <v>1719</v>
      </c>
      <c r="D65" s="509" t="s">
        <v>1720</v>
      </c>
      <c r="E65" s="509" t="s">
        <v>1721</v>
      </c>
      <c r="F65" s="509" t="s">
        <v>1722</v>
      </c>
      <c r="G65" s="509" t="s">
        <v>1723</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1811</v>
      </c>
      <c r="C67" s="581" t="s">
        <v>1797</v>
      </c>
      <c r="D67" s="581" t="s">
        <v>1798</v>
      </c>
      <c r="E67" s="581" t="s">
        <v>1799</v>
      </c>
      <c r="F67" s="581" t="s">
        <v>1800</v>
      </c>
      <c r="G67" s="581" t="s">
        <v>1801</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1731</v>
      </c>
      <c r="C69" s="509" t="s">
        <v>1719</v>
      </c>
      <c r="D69" s="509" t="s">
        <v>1720</v>
      </c>
      <c r="E69" s="509" t="s">
        <v>1721</v>
      </c>
      <c r="F69" s="509" t="s">
        <v>1722</v>
      </c>
      <c r="G69" s="509" t="s">
        <v>1723</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1850</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1692</v>
      </c>
      <c r="B79" s="460" t="s">
        <v>1851</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1852</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1738</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1854</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1856</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1857</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1829</v>
      </c>
      <c r="B1" s="1138" t="s">
        <v>3331</v>
      </c>
      <c r="C1" s="1139" t="s">
        <v>1660</v>
      </c>
      <c r="D1" s="1140"/>
      <c r="E1" s="3129"/>
      <c r="F1" s="1733"/>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IF(C2="——",C37,ROUND(B2*10000/D3,0))</f>
        <v>#DIV/0!</v>
      </c>
      <c r="C3" s="344" t="s">
        <v>1766</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466" t="s">
        <v>1773</v>
      </c>
      <c r="Q4" s="3467"/>
      <c r="R4" s="3470" t="s">
        <v>1769</v>
      </c>
      <c r="S4" s="3471"/>
      <c r="T4" s="3470" t="s">
        <v>1770</v>
      </c>
      <c r="U4" s="3471"/>
      <c r="V4" s="3362" t="s">
        <v>1771</v>
      </c>
      <c r="W4" s="3362"/>
      <c r="X4" s="1263"/>
      <c r="Y4" s="3470" t="s">
        <v>1773</v>
      </c>
      <c r="Z4" s="3471"/>
      <c r="AA4" s="3465" t="s">
        <v>1769</v>
      </c>
      <c r="AB4" s="3407" t="s">
        <v>1770</v>
      </c>
      <c r="AC4" s="3465" t="s">
        <v>1771</v>
      </c>
    </row>
    <row r="5" spans="1:29">
      <c r="A5" s="348"/>
      <c r="B5" s="349"/>
      <c r="C5" s="3403" t="s">
        <v>1671</v>
      </c>
      <c r="D5" s="3398"/>
      <c r="E5" s="3472" t="s">
        <v>1672</v>
      </c>
      <c r="F5" s="3410"/>
      <c r="G5" s="3403" t="s">
        <v>1673</v>
      </c>
      <c r="H5" s="3398"/>
      <c r="I5" s="3403" t="s">
        <v>1674</v>
      </c>
      <c r="J5" s="3398"/>
      <c r="K5" s="537"/>
      <c r="L5" s="2484"/>
      <c r="M5" s="2485"/>
      <c r="N5" s="2485"/>
      <c r="O5" s="2485"/>
      <c r="P5" s="3468"/>
      <c r="Q5" s="3385"/>
      <c r="R5" s="3390"/>
      <c r="S5" s="3391"/>
      <c r="T5" s="3390"/>
      <c r="U5" s="3391"/>
      <c r="V5" s="3362"/>
      <c r="W5" s="3362"/>
      <c r="X5" s="1263"/>
      <c r="Y5" s="3390"/>
      <c r="Z5" s="3391"/>
      <c r="AA5" s="3407"/>
      <c r="AB5" s="3407"/>
      <c r="AC5" s="3407"/>
    </row>
    <row r="6" spans="1:29" ht="15" thickBot="1">
      <c r="A6" s="350"/>
      <c r="B6" s="351"/>
      <c r="C6" s="3395" t="s">
        <v>1675</v>
      </c>
      <c r="D6" s="3396"/>
      <c r="E6" s="3404" t="s">
        <v>1675</v>
      </c>
      <c r="F6" s="3405"/>
      <c r="G6" s="3395" t="s">
        <v>1675</v>
      </c>
      <c r="H6" s="3396"/>
      <c r="I6" s="3395" t="s">
        <v>1675</v>
      </c>
      <c r="J6" s="3396"/>
      <c r="K6" s="537" t="s">
        <v>1676</v>
      </c>
      <c r="L6" s="2484"/>
      <c r="M6" s="2485"/>
      <c r="N6" s="2485"/>
      <c r="O6" s="2485"/>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SUMIF(46:46,YEAR(E7)&amp;"-"&amp;MONTH(E7),47:47)</f>
        <v>0</v>
      </c>
      <c r="G7" s="1820"/>
      <c r="H7" s="355">
        <f>SUMIF(46:46,YEAR(G7)&amp;"-"&amp;MONTH(G7),47:47)</f>
        <v>0</v>
      </c>
      <c r="I7" s="356"/>
      <c r="J7" s="355">
        <f>SUMIF(46:46,YEAR(I7)&amp;"-"&amp;MONTH(I7),47:47)</f>
        <v>0</v>
      </c>
      <c r="K7" s="38"/>
      <c r="L7" s="2486"/>
      <c r="M7" s="2438"/>
      <c r="N7" s="2438"/>
      <c r="O7" s="2438"/>
      <c r="P7" s="3401" t="s">
        <v>1678</v>
      </c>
      <c r="Q7" s="3402"/>
      <c r="R7" s="662" t="s">
        <v>14</v>
      </c>
      <c r="S7" s="663">
        <f t="shared" ref="S7:S14" si="0">F7</f>
        <v>0</v>
      </c>
      <c r="T7" s="662" t="s">
        <v>14</v>
      </c>
      <c r="U7" s="663">
        <f t="shared" ref="U7:U14" si="1">H7</f>
        <v>0</v>
      </c>
      <c r="V7" s="662" t="s">
        <v>14</v>
      </c>
      <c r="W7" s="663">
        <f t="shared" ref="W7:W14" si="2">J7</f>
        <v>0</v>
      </c>
      <c r="X7" s="664"/>
      <c r="Y7" s="3401" t="s">
        <v>1678</v>
      </c>
      <c r="Z7" s="3400"/>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1" t="s">
        <v>1681</v>
      </c>
      <c r="Q8" s="3400"/>
      <c r="R8" s="662" t="s">
        <v>14</v>
      </c>
      <c r="S8" s="663">
        <f t="shared" si="0"/>
        <v>100</v>
      </c>
      <c r="T8" s="662" t="s">
        <v>14</v>
      </c>
      <c r="U8" s="663">
        <f t="shared" si="1"/>
        <v>100</v>
      </c>
      <c r="V8" s="662" t="s">
        <v>14</v>
      </c>
      <c r="W8" s="663">
        <f t="shared" si="2"/>
        <v>100</v>
      </c>
      <c r="X8" s="664"/>
      <c r="Y8" s="3401" t="s">
        <v>1681</v>
      </c>
      <c r="Z8" s="3400"/>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1" t="s">
        <v>1684</v>
      </c>
      <c r="Q9" s="530" t="str">
        <f t="shared" ref="Q9:Q14" si="6">B9</f>
        <v>用途</v>
      </c>
      <c r="R9" s="662" t="s">
        <v>14</v>
      </c>
      <c r="S9" s="663">
        <f t="shared" si="0"/>
        <v>100</v>
      </c>
      <c r="T9" s="662" t="s">
        <v>14</v>
      </c>
      <c r="U9" s="663">
        <f t="shared" si="1"/>
        <v>100</v>
      </c>
      <c r="V9" s="662" t="s">
        <v>14</v>
      </c>
      <c r="W9" s="663">
        <f t="shared" si="2"/>
        <v>100</v>
      </c>
      <c r="X9" s="664"/>
      <c r="Y9" s="3264" t="s">
        <v>1685</v>
      </c>
      <c r="Z9" s="50" t="str">
        <f t="shared" ref="Z9:Z14" si="7">Q9</f>
        <v>用途</v>
      </c>
      <c r="AA9" s="50">
        <f t="shared" si="3"/>
        <v>1</v>
      </c>
      <c r="AB9" s="50">
        <f t="shared" si="4"/>
        <v>1</v>
      </c>
      <c r="AC9" s="50">
        <f t="shared" si="5"/>
        <v>1</v>
      </c>
    </row>
    <row r="10" spans="1:29" s="366" customFormat="1" ht="28.8">
      <c r="A10" s="363"/>
      <c r="B10" s="364" t="s">
        <v>1686</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1"/>
      <c r="Q10" s="530" t="str">
        <f t="shared" si="6"/>
        <v>土地使用年限（年）</v>
      </c>
      <c r="R10" s="662" t="s">
        <v>14</v>
      </c>
      <c r="S10" s="663">
        <f t="shared" si="0"/>
        <v>100</v>
      </c>
      <c r="T10" s="662" t="s">
        <v>14</v>
      </c>
      <c r="U10" s="663">
        <f t="shared" si="1"/>
        <v>100</v>
      </c>
      <c r="V10" s="662" t="s">
        <v>14</v>
      </c>
      <c r="W10" s="663">
        <f t="shared" si="2"/>
        <v>100</v>
      </c>
      <c r="X10" s="664"/>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1"/>
      <c r="Q11" s="530">
        <f t="shared" si="6"/>
        <v>111</v>
      </c>
      <c r="R11" s="662" t="s">
        <v>14</v>
      </c>
      <c r="S11" s="663">
        <f t="shared" si="0"/>
        <v>100</v>
      </c>
      <c r="T11" s="662" t="s">
        <v>14</v>
      </c>
      <c r="U11" s="663">
        <f t="shared" si="1"/>
        <v>100</v>
      </c>
      <c r="V11" s="662" t="s">
        <v>14</v>
      </c>
      <c r="W11" s="663">
        <f t="shared" si="2"/>
        <v>100</v>
      </c>
      <c r="X11" s="664"/>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1"/>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61"/>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50">
        <f t="shared" si="5"/>
        <v>1</v>
      </c>
    </row>
    <row r="14" spans="1:29" ht="96.6">
      <c r="A14" s="379" t="s">
        <v>1688</v>
      </c>
      <c r="B14" s="58" t="s">
        <v>1831</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8" t="s">
        <v>1689</v>
      </c>
      <c r="Q14" s="1261" t="str">
        <f t="shared" si="6"/>
        <v>交通便捷度</v>
      </c>
      <c r="R14" s="665" t="s">
        <v>14</v>
      </c>
      <c r="S14" s="666">
        <f t="shared" si="0"/>
        <v>100</v>
      </c>
      <c r="T14" s="665" t="s">
        <v>14</v>
      </c>
      <c r="U14" s="666">
        <f t="shared" si="1"/>
        <v>100</v>
      </c>
      <c r="V14" s="665" t="s">
        <v>14</v>
      </c>
      <c r="W14" s="666">
        <f t="shared" si="2"/>
        <v>100</v>
      </c>
      <c r="X14" s="1263"/>
      <c r="Y14" s="3368" t="s">
        <v>1689</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0"/>
      <c r="M15" s="2485"/>
      <c r="N15" s="2485"/>
      <c r="O15" s="2540"/>
      <c r="P15" s="3369"/>
      <c r="Q15" s="1261"/>
      <c r="R15" s="665"/>
      <c r="S15" s="666"/>
      <c r="T15" s="665"/>
      <c r="U15" s="666"/>
      <c r="V15" s="665"/>
      <c r="W15" s="666"/>
      <c r="X15" s="1263"/>
      <c r="Y15" s="3369"/>
      <c r="Z15" s="1262"/>
      <c r="AA15" s="1262">
        <v>1</v>
      </c>
      <c r="AB15" s="1262">
        <v>1</v>
      </c>
      <c r="AC15" s="1262">
        <v>1</v>
      </c>
    </row>
    <row r="16" spans="1:29" ht="41.4">
      <c r="A16" s="367"/>
      <c r="B16" s="390" t="s">
        <v>1810</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9"/>
      <c r="Q16" s="1261" t="str">
        <f>B16</f>
        <v>公共配套设施</v>
      </c>
      <c r="R16" s="665" t="s">
        <v>14</v>
      </c>
      <c r="S16" s="666">
        <f>F16</f>
        <v>100</v>
      </c>
      <c r="T16" s="665" t="s">
        <v>14</v>
      </c>
      <c r="U16" s="666">
        <f>H16</f>
        <v>100</v>
      </c>
      <c r="V16" s="665" t="s">
        <v>14</v>
      </c>
      <c r="W16" s="666">
        <f>J16</f>
        <v>100</v>
      </c>
      <c r="X16" s="1263"/>
      <c r="Y16" s="3369"/>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0"/>
      <c r="M17" s="2485"/>
      <c r="N17" s="2485"/>
      <c r="O17" s="2540"/>
      <c r="P17" s="3369"/>
      <c r="Q17" s="1261"/>
      <c r="R17" s="665"/>
      <c r="S17" s="666"/>
      <c r="T17" s="665"/>
      <c r="U17" s="666"/>
      <c r="V17" s="665"/>
      <c r="W17" s="666"/>
      <c r="X17" s="1263"/>
      <c r="Y17" s="3369"/>
      <c r="Z17" s="1262"/>
      <c r="AA17" s="1262">
        <v>1</v>
      </c>
      <c r="AB17" s="1262">
        <v>1</v>
      </c>
      <c r="AC17" s="1262">
        <v>1</v>
      </c>
    </row>
    <row r="18" spans="1:29" ht="41.4">
      <c r="A18" s="367"/>
      <c r="B18" s="586" t="s">
        <v>1811</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9"/>
      <c r="Q18" s="1261" t="str">
        <f>B18</f>
        <v>基础设施水平</v>
      </c>
      <c r="R18" s="665" t="s">
        <v>14</v>
      </c>
      <c r="S18" s="666">
        <f>F18</f>
        <v>100</v>
      </c>
      <c r="T18" s="665" t="s">
        <v>14</v>
      </c>
      <c r="U18" s="666">
        <f>H18</f>
        <v>100</v>
      </c>
      <c r="V18" s="665" t="s">
        <v>14</v>
      </c>
      <c r="W18" s="666">
        <f>J18</f>
        <v>100</v>
      </c>
      <c r="X18" s="1263"/>
      <c r="Y18" s="3369"/>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0"/>
      <c r="M19" s="2485"/>
      <c r="N19" s="2485"/>
      <c r="O19" s="2540"/>
      <c r="P19" s="3369"/>
      <c r="Q19" s="1261"/>
      <c r="R19" s="665"/>
      <c r="S19" s="666"/>
      <c r="T19" s="665"/>
      <c r="U19" s="666"/>
      <c r="V19" s="665"/>
      <c r="W19" s="666"/>
      <c r="X19" s="1263"/>
      <c r="Y19" s="3369"/>
      <c r="Z19" s="1262"/>
      <c r="AA19" s="1262">
        <v>1</v>
      </c>
      <c r="AB19" s="1262">
        <v>1</v>
      </c>
      <c r="AC19" s="1262">
        <v>1</v>
      </c>
    </row>
    <row r="20" spans="1:29" ht="55.2">
      <c r="A20" s="367"/>
      <c r="B20" s="390" t="s">
        <v>1832</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9"/>
      <c r="Q20" s="1261" t="str">
        <f>B20</f>
        <v>自然及人文环境</v>
      </c>
      <c r="R20" s="665" t="s">
        <v>14</v>
      </c>
      <c r="S20" s="666">
        <f>F20</f>
        <v>100</v>
      </c>
      <c r="T20" s="665" t="s">
        <v>14</v>
      </c>
      <c r="U20" s="666">
        <f>H20</f>
        <v>100</v>
      </c>
      <c r="V20" s="665" t="s">
        <v>14</v>
      </c>
      <c r="W20" s="666">
        <f>J20</f>
        <v>100</v>
      </c>
      <c r="X20" s="1263"/>
      <c r="Y20" s="3369"/>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0"/>
      <c r="M21" s="2485"/>
      <c r="N21" s="2485"/>
      <c r="O21" s="2540"/>
      <c r="P21" s="3369"/>
      <c r="Q21" s="1261"/>
      <c r="R21" s="665"/>
      <c r="S21" s="666"/>
      <c r="T21" s="665"/>
      <c r="U21" s="666"/>
      <c r="V21" s="665"/>
      <c r="W21" s="666"/>
      <c r="X21" s="1263"/>
      <c r="Y21" s="3369"/>
      <c r="Z21" s="1262"/>
      <c r="AA21" s="1262">
        <v>1</v>
      </c>
      <c r="AB21" s="1262">
        <v>1</v>
      </c>
      <c r="AC21" s="1262">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9"/>
      <c r="Q22" s="1261" t="str">
        <f>B22</f>
        <v>楼层</v>
      </c>
      <c r="R22" s="665" t="s">
        <v>14</v>
      </c>
      <c r="S22" s="666">
        <f>F22</f>
        <v>100</v>
      </c>
      <c r="T22" s="665" t="s">
        <v>14</v>
      </c>
      <c r="U22" s="666">
        <f>H22</f>
        <v>100</v>
      </c>
      <c r="V22" s="665" t="s">
        <v>14</v>
      </c>
      <c r="W22" s="666">
        <f>J22</f>
        <v>100</v>
      </c>
      <c r="X22" s="1263"/>
      <c r="Y22" s="3369"/>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9"/>
      <c r="Q23" s="1261">
        <f>B23</f>
        <v>111</v>
      </c>
      <c r="R23" s="665" t="s">
        <v>14</v>
      </c>
      <c r="S23" s="666">
        <f>F23</f>
        <v>100</v>
      </c>
      <c r="T23" s="665" t="s">
        <v>14</v>
      </c>
      <c r="U23" s="666">
        <f>H23</f>
        <v>100</v>
      </c>
      <c r="V23" s="665" t="s">
        <v>14</v>
      </c>
      <c r="W23" s="666">
        <f>J23</f>
        <v>100</v>
      </c>
      <c r="X23" s="1263"/>
      <c r="Y23" s="3369"/>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9"/>
      <c r="Q24" s="1261">
        <f t="shared" ref="Q24:Q34" si="11">B24</f>
        <v>111</v>
      </c>
      <c r="R24" s="665" t="s">
        <v>14</v>
      </c>
      <c r="S24" s="666">
        <f>F24</f>
        <v>100</v>
      </c>
      <c r="T24" s="665" t="s">
        <v>14</v>
      </c>
      <c r="U24" s="666">
        <f>H24</f>
        <v>100</v>
      </c>
      <c r="V24" s="665" t="s">
        <v>14</v>
      </c>
      <c r="W24" s="666">
        <f>J24</f>
        <v>100</v>
      </c>
      <c r="X24" s="1263"/>
      <c r="Y24" s="3369"/>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8"/>
      <c r="N25" s="2438"/>
      <c r="O25" s="2538"/>
      <c r="P25" s="3369"/>
      <c r="Q25" s="530">
        <f t="shared" si="11"/>
        <v>111</v>
      </c>
      <c r="R25" s="662" t="s">
        <v>14</v>
      </c>
      <c r="S25" s="663">
        <f>F25</f>
        <v>100</v>
      </c>
      <c r="T25" s="662" t="s">
        <v>14</v>
      </c>
      <c r="U25" s="663">
        <f>H25</f>
        <v>100</v>
      </c>
      <c r="V25" s="662" t="s">
        <v>14</v>
      </c>
      <c r="W25" s="663">
        <f>J25</f>
        <v>100</v>
      </c>
      <c r="X25" s="664"/>
      <c r="Y25" s="3369"/>
      <c r="Z25" s="50">
        <f>Q25</f>
        <v>111</v>
      </c>
      <c r="AA25" s="1262">
        <f>D25/F25</f>
        <v>1</v>
      </c>
      <c r="AB25" s="1262">
        <f>D25/H25</f>
        <v>1</v>
      </c>
      <c r="AC25" s="1262">
        <f>D25/J25</f>
        <v>1</v>
      </c>
    </row>
    <row r="26" spans="1:29" ht="30">
      <c r="A26" s="404" t="s">
        <v>1692</v>
      </c>
      <c r="B26" s="60" t="s">
        <v>1836</v>
      </c>
      <c r="C26" s="1762"/>
      <c r="D26" s="405">
        <v>100</v>
      </c>
      <c r="E26" s="1762"/>
      <c r="F26" s="587">
        <f>SUMIF(77:77,E26,78:78)-SUMIF(77:77,C26,78:78)+100</f>
        <v>100</v>
      </c>
      <c r="G26" s="1762"/>
      <c r="H26" s="405">
        <f>SUMIF(77:77,G26,78:78)-SUMIF(77:77,C26,78:78)+100</f>
        <v>100</v>
      </c>
      <c r="I26" s="1762"/>
      <c r="J26" s="405">
        <f>SUMIF(77:77,I26,78:78)-SUMIF(77:77,C26,78:78)+100</f>
        <v>100</v>
      </c>
      <c r="K26" s="538"/>
      <c r="L26" s="2490"/>
      <c r="M26" s="2485"/>
      <c r="N26" s="2485"/>
      <c r="O26" s="2540"/>
      <c r="P26" s="3473" t="s">
        <v>1694</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73" t="s">
        <v>1694</v>
      </c>
      <c r="Z26" s="1262" t="str">
        <f t="shared" ref="Z26:Z34" si="15">Q26</f>
        <v>公共部分装修</v>
      </c>
      <c r="AA26" s="1262">
        <f t="shared" si="3"/>
        <v>1</v>
      </c>
      <c r="AB26" s="1262">
        <f t="shared" si="4"/>
        <v>1</v>
      </c>
      <c r="AC26" s="1262">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3"/>
      <c r="Q27" s="531" t="str">
        <f t="shared" si="11"/>
        <v>成新率</v>
      </c>
      <c r="R27" s="667" t="s">
        <v>14</v>
      </c>
      <c r="S27" s="668" t="e">
        <f t="shared" si="12"/>
        <v>#N/A</v>
      </c>
      <c r="T27" s="667" t="s">
        <v>14</v>
      </c>
      <c r="U27" s="668" t="e">
        <f t="shared" si="13"/>
        <v>#N/A</v>
      </c>
      <c r="V27" s="667" t="s">
        <v>14</v>
      </c>
      <c r="W27" s="668" t="e">
        <f t="shared" si="14"/>
        <v>#N/A</v>
      </c>
      <c r="X27" s="669"/>
      <c r="Y27" s="3373"/>
      <c r="Z27" s="670" t="str">
        <f t="shared" si="15"/>
        <v>成新率</v>
      </c>
      <c r="AA27" s="1262" t="e">
        <f t="shared" si="3"/>
        <v>#N/A</v>
      </c>
      <c r="AB27" s="1262" t="e">
        <f t="shared" si="4"/>
        <v>#N/A</v>
      </c>
      <c r="AC27" s="1262"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3"/>
      <c r="Q28" s="1261" t="str">
        <f t="shared" si="11"/>
        <v>物业等级</v>
      </c>
      <c r="R28" s="665" t="s">
        <v>14</v>
      </c>
      <c r="S28" s="666">
        <f t="shared" si="12"/>
        <v>100</v>
      </c>
      <c r="T28" s="665" t="s">
        <v>14</v>
      </c>
      <c r="U28" s="666">
        <f t="shared" si="13"/>
        <v>100</v>
      </c>
      <c r="V28" s="665" t="s">
        <v>14</v>
      </c>
      <c r="W28" s="666">
        <f t="shared" si="14"/>
        <v>100</v>
      </c>
      <c r="X28" s="1263"/>
      <c r="Y28" s="3373"/>
      <c r="Z28" s="1262" t="str">
        <f t="shared" si="15"/>
        <v>物业等级</v>
      </c>
      <c r="AA28" s="1262">
        <f t="shared" si="3"/>
        <v>1</v>
      </c>
      <c r="AB28" s="1262">
        <f t="shared" si="4"/>
        <v>1</v>
      </c>
      <c r="AC28" s="1262">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3"/>
      <c r="Q29" s="1261" t="str">
        <f t="shared" si="11"/>
        <v>有无电梯</v>
      </c>
      <c r="R29" s="665" t="s">
        <v>14</v>
      </c>
      <c r="S29" s="666">
        <f t="shared" si="12"/>
        <v>100</v>
      </c>
      <c r="T29" s="665" t="s">
        <v>14</v>
      </c>
      <c r="U29" s="666">
        <f t="shared" si="13"/>
        <v>100</v>
      </c>
      <c r="V29" s="665" t="s">
        <v>14</v>
      </c>
      <c r="W29" s="666">
        <f t="shared" si="14"/>
        <v>100</v>
      </c>
      <c r="X29" s="1263"/>
      <c r="Y29" s="3373"/>
      <c r="Z29" s="1262" t="str">
        <f t="shared" si="15"/>
        <v>有无电梯</v>
      </c>
      <c r="AA29" s="1262">
        <f t="shared" si="3"/>
        <v>1</v>
      </c>
      <c r="AB29" s="1262">
        <f t="shared" si="4"/>
        <v>1</v>
      </c>
      <c r="AC29" s="1262">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3"/>
      <c r="Q30" s="1261" t="str">
        <f t="shared" si="11"/>
        <v>建筑面积</v>
      </c>
      <c r="R30" s="665" t="s">
        <v>14</v>
      </c>
      <c r="S30" s="666" t="e">
        <f t="shared" si="12"/>
        <v>#N/A</v>
      </c>
      <c r="T30" s="665" t="s">
        <v>14</v>
      </c>
      <c r="U30" s="666" t="e">
        <f t="shared" si="13"/>
        <v>#N/A</v>
      </c>
      <c r="V30" s="665" t="s">
        <v>14</v>
      </c>
      <c r="W30" s="666" t="e">
        <f t="shared" si="14"/>
        <v>#N/A</v>
      </c>
      <c r="X30" s="1263"/>
      <c r="Y30" s="3373"/>
      <c r="Z30" s="1262" t="str">
        <f t="shared" si="15"/>
        <v>建筑面积</v>
      </c>
      <c r="AA30" s="1262" t="e">
        <f t="shared" si="3"/>
        <v>#N/A</v>
      </c>
      <c r="AB30" s="1262" t="e">
        <f t="shared" si="4"/>
        <v>#N/A</v>
      </c>
      <c r="AC30" s="1262"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3"/>
      <c r="Q31" s="530" t="str">
        <f t="shared" si="11"/>
        <v>是否封闭</v>
      </c>
      <c r="R31" s="662" t="s">
        <v>14</v>
      </c>
      <c r="S31" s="663">
        <f t="shared" si="12"/>
        <v>100</v>
      </c>
      <c r="T31" s="662" t="s">
        <v>14</v>
      </c>
      <c r="U31" s="663">
        <f t="shared" si="13"/>
        <v>100</v>
      </c>
      <c r="V31" s="662" t="s">
        <v>14</v>
      </c>
      <c r="W31" s="663">
        <f t="shared" si="14"/>
        <v>100</v>
      </c>
      <c r="X31" s="664"/>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3" t="s">
        <v>1694</v>
      </c>
      <c r="Q32" s="1261">
        <f t="shared" si="11"/>
        <v>111</v>
      </c>
      <c r="R32" s="665" t="s">
        <v>14</v>
      </c>
      <c r="S32" s="666">
        <f t="shared" si="12"/>
        <v>100</v>
      </c>
      <c r="T32" s="665" t="s">
        <v>14</v>
      </c>
      <c r="U32" s="666">
        <f t="shared" si="13"/>
        <v>100</v>
      </c>
      <c r="V32" s="665" t="s">
        <v>14</v>
      </c>
      <c r="W32" s="666">
        <f t="shared" si="14"/>
        <v>100</v>
      </c>
      <c r="X32" s="1263"/>
      <c r="Y32" s="3373" t="s">
        <v>1694</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3"/>
      <c r="Q33" s="1261">
        <f t="shared" si="11"/>
        <v>111</v>
      </c>
      <c r="R33" s="665" t="s">
        <v>14</v>
      </c>
      <c r="S33" s="666">
        <f t="shared" si="12"/>
        <v>100</v>
      </c>
      <c r="T33" s="665" t="s">
        <v>14</v>
      </c>
      <c r="U33" s="666">
        <f t="shared" si="13"/>
        <v>100</v>
      </c>
      <c r="V33" s="665" t="s">
        <v>14</v>
      </c>
      <c r="W33" s="666">
        <f t="shared" si="14"/>
        <v>100</v>
      </c>
      <c r="X33" s="1263"/>
      <c r="Y33" s="3373"/>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30" ht="14.4">
      <c r="A35" s="416" t="s">
        <v>1706</v>
      </c>
      <c r="B35" s="417"/>
      <c r="C35" s="1079" t="s">
        <v>0</v>
      </c>
      <c r="D35" s="418"/>
      <c r="E35" s="419"/>
      <c r="F35" s="420"/>
      <c r="G35" s="421"/>
      <c r="H35" s="422"/>
      <c r="I35" s="419"/>
      <c r="J35" s="422"/>
      <c r="K35" s="672"/>
      <c r="L35" s="2492"/>
      <c r="M35" s="2485"/>
      <c r="N35" s="2485"/>
      <c r="O35" s="2485"/>
      <c r="P35" s="3361" t="str">
        <f>A35</f>
        <v>成交单价（元/平方米）</v>
      </c>
      <c r="Q35" s="3361"/>
      <c r="R35" s="3362">
        <f>E35</f>
        <v>0</v>
      </c>
      <c r="S35" s="3362"/>
      <c r="T35" s="3362">
        <f>G35</f>
        <v>0</v>
      </c>
      <c r="U35" s="3362"/>
      <c r="V35" s="3362">
        <f>I35</f>
        <v>0</v>
      </c>
      <c r="W35" s="3362"/>
      <c r="X35" s="385"/>
      <c r="Y35" s="671"/>
      <c r="Z35" s="385"/>
      <c r="AA35" s="385"/>
      <c r="AB35" s="385"/>
      <c r="AC35" s="385"/>
    </row>
    <row r="36" spans="1:30" ht="15" thickBot="1">
      <c r="A36" s="423" t="s">
        <v>1791</v>
      </c>
      <c r="B36" s="424"/>
      <c r="C36" s="1080" t="e">
        <f>R37</f>
        <v>#DIV/0!</v>
      </c>
      <c r="D36" s="2139" t="s">
        <v>2135</v>
      </c>
      <c r="E36" s="1081" t="e">
        <f>R36</f>
        <v>#DIV/0!</v>
      </c>
      <c r="F36" s="2140"/>
      <c r="G36" s="1080" t="e">
        <f>T36</f>
        <v>#DIV/0!</v>
      </c>
      <c r="H36" s="2140"/>
      <c r="I36" s="1081" t="e">
        <f>V36</f>
        <v>#DIV/0!</v>
      </c>
      <c r="J36" s="2140"/>
      <c r="K36" s="2142">
        <f>F36+H36+J36</f>
        <v>0</v>
      </c>
      <c r="L36" s="2492"/>
      <c r="M36" s="2485"/>
      <c r="N36" s="2485"/>
      <c r="O36" s="2485"/>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 thickBot="1">
      <c r="A37" s="427" t="s">
        <v>1792</v>
      </c>
      <c r="B37" s="428"/>
      <c r="C37" s="351" t="e">
        <f>R37</f>
        <v>#DIV/0!</v>
      </c>
      <c r="D37" s="351"/>
      <c r="E37" s="351"/>
      <c r="F37" s="351"/>
      <c r="G37" s="351"/>
      <c r="H37" s="351"/>
      <c r="I37" s="351"/>
      <c r="J37" s="351"/>
      <c r="K37" s="673"/>
      <c r="L37" s="2492"/>
      <c r="M37" s="2485"/>
      <c r="N37" s="2485"/>
      <c r="O37" s="2485"/>
      <c r="P37" s="3462" t="str">
        <f>A37</f>
        <v>估价对象XX用房的比较价值（楼面单价，元/平方米）</v>
      </c>
      <c r="Q37" s="3463"/>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6" t="s">
        <v>1796</v>
      </c>
      <c r="B45" s="385"/>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1677</v>
      </c>
      <c r="B46" s="441"/>
      <c r="C46" s="1101" t="str">
        <f>YEAR(C7)&amp;"-"&amp;MONTH(C7)</f>
        <v>2025-4</v>
      </c>
      <c r="D46" s="1102">
        <f>EDATE(C46,-1)</f>
        <v>45717</v>
      </c>
      <c r="E46" s="1102">
        <f t="shared" ref="E46:O46" si="16">EDATE(D46,-1)</f>
        <v>45689</v>
      </c>
      <c r="F46" s="1102">
        <f t="shared" si="16"/>
        <v>45658</v>
      </c>
      <c r="G46" s="1102">
        <f t="shared" si="16"/>
        <v>45627</v>
      </c>
      <c r="H46" s="1102">
        <f t="shared" si="16"/>
        <v>45597</v>
      </c>
      <c r="I46" s="1102">
        <f t="shared" si="16"/>
        <v>45566</v>
      </c>
      <c r="J46" s="1102">
        <f t="shared" si="16"/>
        <v>45536</v>
      </c>
      <c r="K46" s="1102">
        <f t="shared" si="16"/>
        <v>45505</v>
      </c>
      <c r="L46" s="1102">
        <f t="shared" si="16"/>
        <v>45474</v>
      </c>
      <c r="M46" s="1102">
        <f t="shared" si="16"/>
        <v>45444</v>
      </c>
      <c r="N46" s="1102">
        <f t="shared" si="16"/>
        <v>45413</v>
      </c>
      <c r="O46" s="1102">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0">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1714</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1679</v>
      </c>
      <c r="B49" s="444"/>
      <c r="C49" s="456" t="s">
        <v>1774</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1717</v>
      </c>
      <c r="B51" s="460" t="s">
        <v>1683</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1686</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1861</v>
      </c>
      <c r="C63" s="509" t="s">
        <v>1719</v>
      </c>
      <c r="D63" s="509" t="s">
        <v>1720</v>
      </c>
      <c r="E63" s="509" t="s">
        <v>1721</v>
      </c>
      <c r="F63" s="509" t="s">
        <v>1722</v>
      </c>
      <c r="G63" s="509" t="s">
        <v>1723</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1811</v>
      </c>
      <c r="C65" s="581" t="s">
        <v>1797</v>
      </c>
      <c r="D65" s="581" t="s">
        <v>1798</v>
      </c>
      <c r="E65" s="581" t="s">
        <v>1799</v>
      </c>
      <c r="F65" s="581" t="s">
        <v>1800</v>
      </c>
      <c r="G65" s="581" t="s">
        <v>1801</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1731</v>
      </c>
      <c r="C67" s="509" t="s">
        <v>1719</v>
      </c>
      <c r="D67" s="509" t="s">
        <v>1720</v>
      </c>
      <c r="E67" s="509" t="s">
        <v>1721</v>
      </c>
      <c r="F67" s="509" t="s">
        <v>1722</v>
      </c>
      <c r="G67" s="509" t="s">
        <v>1723</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1850</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1692</v>
      </c>
      <c r="B77" s="460" t="s">
        <v>1738</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1854</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1862</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1864</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49"/>
      <c r="E1" s="649"/>
      <c r="F1" s="648" t="s">
        <v>1765</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1460</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466" t="s">
        <v>1773</v>
      </c>
      <c r="Q4" s="3467"/>
      <c r="R4" s="3470" t="s">
        <v>1769</v>
      </c>
      <c r="S4" s="3471"/>
      <c r="T4" s="3470" t="s">
        <v>1770</v>
      </c>
      <c r="U4" s="3471"/>
      <c r="V4" s="3362" t="s">
        <v>1771</v>
      </c>
      <c r="W4" s="3362"/>
      <c r="X4" s="1263"/>
      <c r="Y4" s="3470" t="s">
        <v>1773</v>
      </c>
      <c r="Z4" s="3471"/>
      <c r="AA4" s="3465" t="s">
        <v>1769</v>
      </c>
      <c r="AB4" s="3407" t="s">
        <v>1770</v>
      </c>
      <c r="AC4" s="3465" t="s">
        <v>1771</v>
      </c>
    </row>
    <row r="5" spans="1:29">
      <c r="A5" s="348"/>
      <c r="B5" s="349"/>
      <c r="C5" s="3403" t="s">
        <v>1671</v>
      </c>
      <c r="D5" s="3398"/>
      <c r="E5" s="3472" t="s">
        <v>1672</v>
      </c>
      <c r="F5" s="3410"/>
      <c r="G5" s="3403" t="s">
        <v>1673</v>
      </c>
      <c r="H5" s="3398"/>
      <c r="I5" s="3403" t="s">
        <v>1674</v>
      </c>
      <c r="J5" s="3398"/>
      <c r="K5" s="537"/>
      <c r="L5" s="2484"/>
      <c r="M5" s="2485"/>
      <c r="N5" s="2485"/>
      <c r="O5" s="2485"/>
      <c r="P5" s="3468"/>
      <c r="Q5" s="3385"/>
      <c r="R5" s="3390"/>
      <c r="S5" s="3391"/>
      <c r="T5" s="3390"/>
      <c r="U5" s="3391"/>
      <c r="V5" s="3362"/>
      <c r="W5" s="3362"/>
      <c r="X5" s="1263"/>
      <c r="Y5" s="3390"/>
      <c r="Z5" s="3391"/>
      <c r="AA5" s="3407"/>
      <c r="AB5" s="3407"/>
      <c r="AC5" s="3407"/>
    </row>
    <row r="6" spans="1:29" ht="15" thickBot="1">
      <c r="A6" s="350"/>
      <c r="B6" s="351"/>
      <c r="C6" s="3395" t="s">
        <v>1675</v>
      </c>
      <c r="D6" s="3396"/>
      <c r="E6" s="3404" t="s">
        <v>1675</v>
      </c>
      <c r="F6" s="3405"/>
      <c r="G6" s="3395" t="s">
        <v>1675</v>
      </c>
      <c r="H6" s="3396"/>
      <c r="I6" s="3395" t="s">
        <v>1675</v>
      </c>
      <c r="J6" s="3396"/>
      <c r="K6" s="537" t="s">
        <v>1676</v>
      </c>
      <c r="L6" s="2484"/>
      <c r="M6" s="2485"/>
      <c r="N6" s="2485"/>
      <c r="O6" s="2485"/>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SUMIF(69:69,YEAR(E7)&amp;"-"&amp;INT((MONTH(E7)+2)/3),70:70)</f>
        <v>0</v>
      </c>
      <c r="G7" s="1820"/>
      <c r="H7" s="355">
        <f>SUMIF(69:69,YEAR(G7)&amp;"-"&amp;INT((MONTH(G7)+2)/3),70:70)</f>
        <v>0</v>
      </c>
      <c r="I7" s="1820"/>
      <c r="J7" s="355">
        <f>SUMIF(69:69,YEAR(I7)&amp;"-"&amp;INT((MONTH(I7)+2)/3),70:70)</f>
        <v>0</v>
      </c>
      <c r="K7" s="38"/>
      <c r="L7" s="2486"/>
      <c r="M7" s="2438"/>
      <c r="N7" s="2438"/>
      <c r="O7" s="2438"/>
      <c r="P7" s="3401" t="s">
        <v>1678</v>
      </c>
      <c r="Q7" s="3402"/>
      <c r="R7" s="662" t="s">
        <v>14</v>
      </c>
      <c r="S7" s="663">
        <f t="shared" ref="S7:S15" si="0">F7</f>
        <v>0</v>
      </c>
      <c r="T7" s="662" t="s">
        <v>14</v>
      </c>
      <c r="U7" s="663">
        <f t="shared" ref="U7:U15" si="1">H7</f>
        <v>0</v>
      </c>
      <c r="V7" s="662" t="s">
        <v>14</v>
      </c>
      <c r="W7" s="663">
        <f t="shared" ref="W7:W15" si="2">J7</f>
        <v>0</v>
      </c>
      <c r="X7" s="664"/>
      <c r="Y7" s="3401" t="s">
        <v>1678</v>
      </c>
      <c r="Z7" s="3400"/>
      <c r="AA7" s="50" t="e">
        <f>D7/F7</f>
        <v>#DIV/0!</v>
      </c>
      <c r="AB7" s="50" t="e">
        <f>D7/H7</f>
        <v>#DIV/0!</v>
      </c>
      <c r="AC7" s="50" t="e">
        <f>D7/J7</f>
        <v>#DIV/0!</v>
      </c>
    </row>
    <row r="8" spans="1:29" s="102" customFormat="1" ht="1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1" t="s">
        <v>1681</v>
      </c>
      <c r="Q8" s="3400"/>
      <c r="R8" s="662" t="s">
        <v>14</v>
      </c>
      <c r="S8" s="663">
        <f t="shared" si="0"/>
        <v>0</v>
      </c>
      <c r="T8" s="662" t="s">
        <v>14</v>
      </c>
      <c r="U8" s="663">
        <f t="shared" si="1"/>
        <v>0</v>
      </c>
      <c r="V8" s="662" t="s">
        <v>14</v>
      </c>
      <c r="W8" s="663">
        <f t="shared" si="2"/>
        <v>0</v>
      </c>
      <c r="X8" s="664"/>
      <c r="Y8" s="3401" t="s">
        <v>1681</v>
      </c>
      <c r="Z8" s="3400"/>
      <c r="AA8" s="50" t="e">
        <f t="shared" ref="AA8:AA45" si="3">D8/F8</f>
        <v>#DIV/0!</v>
      </c>
      <c r="AB8" s="50" t="e">
        <f t="shared" ref="AB8:AB45" si="4">D8/H8</f>
        <v>#DIV/0!</v>
      </c>
      <c r="AC8" s="50" t="e">
        <f t="shared" ref="AC8:AC45" si="5">D8/J8</f>
        <v>#DIV/0!</v>
      </c>
    </row>
    <row r="9" spans="1:29" s="102" customFormat="1" ht="14.4">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6"/>
      <c r="M9" s="2438"/>
      <c r="N9" s="2438"/>
      <c r="O9" s="2538"/>
      <c r="P9" s="3361" t="s">
        <v>1684</v>
      </c>
      <c r="Q9" s="530" t="str">
        <f t="shared" ref="Q9:Q15" si="6">B9</f>
        <v>用途</v>
      </c>
      <c r="R9" s="662" t="s">
        <v>14</v>
      </c>
      <c r="S9" s="663">
        <f t="shared" si="0"/>
        <v>100</v>
      </c>
      <c r="T9" s="662" t="s">
        <v>14</v>
      </c>
      <c r="U9" s="663">
        <f t="shared" si="1"/>
        <v>100</v>
      </c>
      <c r="V9" s="662" t="s">
        <v>14</v>
      </c>
      <c r="W9" s="663">
        <f t="shared" si="2"/>
        <v>100</v>
      </c>
      <c r="X9" s="664"/>
      <c r="Y9" s="3264"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132</v>
      </c>
      <c r="G10" s="402"/>
      <c r="H10" s="119">
        <f>ROUND(100/'数据-取费表'!G16,0)</f>
        <v>132</v>
      </c>
      <c r="I10" s="402"/>
      <c r="J10" s="119">
        <f>ROUND(100/'数据-取费表'!G16,0)</f>
        <v>132</v>
      </c>
      <c r="K10" s="592"/>
      <c r="L10" s="2487"/>
      <c r="M10" s="2488"/>
      <c r="N10" s="2488"/>
      <c r="O10" s="2539"/>
      <c r="P10" s="3361"/>
      <c r="Q10" s="530" t="str">
        <f t="shared" si="6"/>
        <v>土地使用年限（年）</v>
      </c>
      <c r="R10" s="662" t="s">
        <v>14</v>
      </c>
      <c r="S10" s="663">
        <f t="shared" si="0"/>
        <v>132</v>
      </c>
      <c r="T10" s="662" t="s">
        <v>14</v>
      </c>
      <c r="U10" s="663">
        <f t="shared" si="1"/>
        <v>132</v>
      </c>
      <c r="V10" s="662" t="s">
        <v>14</v>
      </c>
      <c r="W10" s="663">
        <f t="shared" si="2"/>
        <v>132</v>
      </c>
      <c r="X10" s="664"/>
      <c r="Y10" s="3264"/>
      <c r="Z10" s="50" t="str">
        <f t="shared" si="7"/>
        <v>土地使用年限（年）</v>
      </c>
      <c r="AA10" s="50">
        <f t="shared" si="3"/>
        <v>0.75757575757575757</v>
      </c>
      <c r="AB10" s="50">
        <f t="shared" si="4"/>
        <v>0.75757575757575757</v>
      </c>
      <c r="AC10" s="50">
        <f t="shared" si="5"/>
        <v>0.75757575757575757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1"/>
      <c r="Q11" s="530" t="str">
        <f t="shared" si="6"/>
        <v>容积率</v>
      </c>
      <c r="R11" s="662" t="s">
        <v>14</v>
      </c>
      <c r="S11" s="663" t="e">
        <f t="shared" si="0"/>
        <v>#N/A</v>
      </c>
      <c r="T11" s="662" t="s">
        <v>14</v>
      </c>
      <c r="U11" s="663" t="e">
        <f t="shared" si="1"/>
        <v>#N/A</v>
      </c>
      <c r="V11" s="662" t="s">
        <v>14</v>
      </c>
      <c r="W11" s="663" t="e">
        <f t="shared" si="2"/>
        <v>#N/A</v>
      </c>
      <c r="X11" s="664"/>
      <c r="Y11" s="3264"/>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1"/>
      <c r="Q12" s="530" t="str">
        <f t="shared" si="6"/>
        <v>配建</v>
      </c>
      <c r="R12" s="662" t="s">
        <v>14</v>
      </c>
      <c r="S12" s="663">
        <f t="shared" si="0"/>
        <v>100</v>
      </c>
      <c r="T12" s="662" t="s">
        <v>14</v>
      </c>
      <c r="U12" s="663">
        <f t="shared" si="1"/>
        <v>100</v>
      </c>
      <c r="V12" s="662" t="s">
        <v>14</v>
      </c>
      <c r="W12" s="663">
        <f t="shared" si="2"/>
        <v>100</v>
      </c>
      <c r="X12" s="664"/>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1"/>
      <c r="Q13" s="530">
        <f t="shared" si="6"/>
        <v>111</v>
      </c>
      <c r="R13" s="662" t="s">
        <v>14</v>
      </c>
      <c r="S13" s="663">
        <f t="shared" si="0"/>
        <v>100</v>
      </c>
      <c r="T13" s="662" t="s">
        <v>14</v>
      </c>
      <c r="U13" s="663">
        <f t="shared" si="1"/>
        <v>100</v>
      </c>
      <c r="V13" s="662" t="s">
        <v>14</v>
      </c>
      <c r="W13" s="663">
        <f t="shared" si="2"/>
        <v>100</v>
      </c>
      <c r="X13" s="664"/>
      <c r="Y13" s="3264"/>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1"/>
      <c r="Q14" s="530">
        <f t="shared" si="6"/>
        <v>111</v>
      </c>
      <c r="R14" s="662" t="s">
        <v>14</v>
      </c>
      <c r="S14" s="663">
        <f t="shared" si="0"/>
        <v>100</v>
      </c>
      <c r="T14" s="662" t="s">
        <v>14</v>
      </c>
      <c r="U14" s="663">
        <f t="shared" si="1"/>
        <v>100</v>
      </c>
      <c r="V14" s="662" t="s">
        <v>14</v>
      </c>
      <c r="W14" s="663">
        <f t="shared" si="2"/>
        <v>100</v>
      </c>
      <c r="X14" s="664"/>
      <c r="Y14" s="3264"/>
      <c r="Z14" s="50">
        <f t="shared" si="7"/>
        <v>111</v>
      </c>
      <c r="AA14" s="50">
        <f>D14/F14</f>
        <v>1</v>
      </c>
      <c r="AB14" s="50">
        <f>D14/H14</f>
        <v>1</v>
      </c>
      <c r="AC14" s="50">
        <f>D14/J14</f>
        <v>1</v>
      </c>
    </row>
    <row r="15" spans="1:29" ht="96.6">
      <c r="A15" s="379" t="s">
        <v>1688</v>
      </c>
      <c r="B15" s="58" t="s">
        <v>1255</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8" t="s">
        <v>1689</v>
      </c>
      <c r="Q15" s="1261" t="str">
        <f t="shared" si="6"/>
        <v>居住社区成熟度</v>
      </c>
      <c r="R15" s="665" t="s">
        <v>14</v>
      </c>
      <c r="S15" s="666">
        <f t="shared" si="0"/>
        <v>100</v>
      </c>
      <c r="T15" s="665" t="s">
        <v>14</v>
      </c>
      <c r="U15" s="666">
        <f t="shared" si="1"/>
        <v>100</v>
      </c>
      <c r="V15" s="665" t="s">
        <v>14</v>
      </c>
      <c r="W15" s="666">
        <f t="shared" si="2"/>
        <v>100</v>
      </c>
      <c r="X15" s="1263"/>
      <c r="Y15" s="3368" t="s">
        <v>1689</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0"/>
      <c r="M16" s="2485"/>
      <c r="N16" s="2485"/>
      <c r="O16" s="2540"/>
      <c r="P16" s="3369"/>
      <c r="Q16" s="1261"/>
      <c r="R16" s="665"/>
      <c r="S16" s="666"/>
      <c r="T16" s="665"/>
      <c r="U16" s="666"/>
      <c r="V16" s="665"/>
      <c r="W16" s="666"/>
      <c r="X16" s="1263"/>
      <c r="Y16" s="3369"/>
      <c r="Z16" s="1262"/>
      <c r="AA16" s="1262">
        <v>1</v>
      </c>
      <c r="AB16" s="1262">
        <v>1</v>
      </c>
      <c r="AC16" s="1262">
        <v>1</v>
      </c>
    </row>
    <row r="17" spans="1:29" ht="82.8">
      <c r="A17" s="367"/>
      <c r="B17" s="390" t="s">
        <v>1775</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9"/>
      <c r="Q17" s="1261" t="str">
        <f>B17</f>
        <v>商业繁华度</v>
      </c>
      <c r="R17" s="665" t="s">
        <v>14</v>
      </c>
      <c r="S17" s="666">
        <f>F17</f>
        <v>100</v>
      </c>
      <c r="T17" s="665" t="s">
        <v>14</v>
      </c>
      <c r="U17" s="666">
        <f>H17</f>
        <v>100</v>
      </c>
      <c r="V17" s="665" t="s">
        <v>14</v>
      </c>
      <c r="W17" s="666">
        <f>J17</f>
        <v>100</v>
      </c>
      <c r="X17" s="1263"/>
      <c r="Y17" s="3369"/>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0"/>
      <c r="M18" s="2485"/>
      <c r="N18" s="2485"/>
      <c r="O18" s="2540"/>
      <c r="P18" s="3369"/>
      <c r="Q18" s="1261"/>
      <c r="R18" s="665"/>
      <c r="S18" s="666"/>
      <c r="T18" s="665"/>
      <c r="U18" s="666"/>
      <c r="V18" s="665"/>
      <c r="W18" s="666"/>
      <c r="X18" s="1263"/>
      <c r="Y18" s="3369"/>
      <c r="Z18" s="1262"/>
      <c r="AA18" s="1262">
        <v>1</v>
      </c>
      <c r="AB18" s="1262">
        <v>1</v>
      </c>
      <c r="AC18" s="1262">
        <v>1</v>
      </c>
    </row>
    <row r="19" spans="1:29" ht="82.8">
      <c r="A19" s="367"/>
      <c r="B19" s="390" t="s">
        <v>1809</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9"/>
      <c r="Q19" s="1261" t="str">
        <f>B19</f>
        <v>办公集聚程度</v>
      </c>
      <c r="R19" s="665" t="s">
        <v>14</v>
      </c>
      <c r="S19" s="666">
        <f>F19</f>
        <v>100</v>
      </c>
      <c r="T19" s="665" t="s">
        <v>14</v>
      </c>
      <c r="U19" s="666">
        <f>H19</f>
        <v>100</v>
      </c>
      <c r="V19" s="665" t="s">
        <v>14</v>
      </c>
      <c r="W19" s="666">
        <f>J19</f>
        <v>100</v>
      </c>
      <c r="X19" s="1263"/>
      <c r="Y19" s="3369"/>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0"/>
      <c r="M20" s="2485"/>
      <c r="N20" s="2485"/>
      <c r="O20" s="2540"/>
      <c r="P20" s="3369"/>
      <c r="Q20" s="1261"/>
      <c r="R20" s="665"/>
      <c r="S20" s="666"/>
      <c r="T20" s="665"/>
      <c r="U20" s="666"/>
      <c r="V20" s="665"/>
      <c r="W20" s="666"/>
      <c r="X20" s="1263"/>
      <c r="Y20" s="3369"/>
      <c r="Z20" s="1262"/>
      <c r="AA20" s="1262">
        <v>1</v>
      </c>
      <c r="AB20" s="1262">
        <v>1</v>
      </c>
      <c r="AC20" s="1262">
        <v>1</v>
      </c>
    </row>
    <row r="21" spans="1:29" ht="96.6">
      <c r="A21" s="367"/>
      <c r="B21" s="390" t="s">
        <v>1831</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9"/>
      <c r="Q21" s="1261" t="str">
        <f>B21</f>
        <v>交通便捷度</v>
      </c>
      <c r="R21" s="665" t="s">
        <v>14</v>
      </c>
      <c r="S21" s="666">
        <f>F21</f>
        <v>100</v>
      </c>
      <c r="T21" s="665" t="s">
        <v>14</v>
      </c>
      <c r="U21" s="666">
        <f>H21</f>
        <v>100</v>
      </c>
      <c r="V21" s="665" t="s">
        <v>14</v>
      </c>
      <c r="W21" s="666">
        <f>J21</f>
        <v>100</v>
      </c>
      <c r="X21" s="1263"/>
      <c r="Y21" s="3369"/>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0"/>
      <c r="M22" s="2485"/>
      <c r="N22" s="2485"/>
      <c r="O22" s="2540"/>
      <c r="P22" s="3369"/>
      <c r="Q22" s="1261"/>
      <c r="R22" s="665"/>
      <c r="S22" s="666"/>
      <c r="T22" s="665"/>
      <c r="U22" s="666"/>
      <c r="V22" s="665"/>
      <c r="W22" s="666"/>
      <c r="X22" s="1263"/>
      <c r="Y22" s="3369"/>
      <c r="Z22" s="1262"/>
      <c r="AA22" s="1262">
        <v>1</v>
      </c>
      <c r="AB22" s="1262">
        <v>1</v>
      </c>
      <c r="AC22" s="1262">
        <v>1</v>
      </c>
    </row>
    <row r="23" spans="1:29" ht="28.8">
      <c r="A23" s="348"/>
      <c r="B23" s="390" t="s">
        <v>1869</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9"/>
      <c r="Q23" s="1261" t="str">
        <f t="shared" ref="Q23:Q37" si="8">B23</f>
        <v>区域土地利用方向</v>
      </c>
      <c r="R23" s="665" t="s">
        <v>14</v>
      </c>
      <c r="S23" s="666">
        <f>F23</f>
        <v>100</v>
      </c>
      <c r="T23" s="665" t="s">
        <v>14</v>
      </c>
      <c r="U23" s="666">
        <f>H23</f>
        <v>100</v>
      </c>
      <c r="V23" s="665" t="s">
        <v>14</v>
      </c>
      <c r="W23" s="666">
        <f>J23</f>
        <v>100</v>
      </c>
      <c r="X23" s="1263"/>
      <c r="Y23" s="3369"/>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0"/>
      <c r="M24" s="2485"/>
      <c r="N24" s="2485"/>
      <c r="O24" s="2540"/>
      <c r="P24" s="3369"/>
      <c r="Q24" s="1261"/>
      <c r="R24" s="665"/>
      <c r="S24" s="666"/>
      <c r="T24" s="665"/>
      <c r="U24" s="666"/>
      <c r="V24" s="665"/>
      <c r="W24" s="666"/>
      <c r="X24" s="1263"/>
      <c r="Y24" s="3369"/>
      <c r="Z24" s="1262"/>
      <c r="AA24" s="1262"/>
      <c r="AB24" s="1262"/>
      <c r="AC24" s="1262"/>
    </row>
    <row r="25" spans="1:29" ht="55.2">
      <c r="A25" s="348"/>
      <c r="B25" s="586" t="s">
        <v>1870</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9"/>
      <c r="Q25" s="1261" t="str">
        <f t="shared" si="8"/>
        <v>自然及人文环境状况</v>
      </c>
      <c r="R25" s="665" t="s">
        <v>14</v>
      </c>
      <c r="S25" s="666">
        <f>F25</f>
        <v>100</v>
      </c>
      <c r="T25" s="665" t="s">
        <v>14</v>
      </c>
      <c r="U25" s="666">
        <f>H25</f>
        <v>100</v>
      </c>
      <c r="V25" s="665" t="s">
        <v>14</v>
      </c>
      <c r="W25" s="666">
        <f>J25</f>
        <v>100</v>
      </c>
      <c r="X25" s="1263"/>
      <c r="Y25" s="3369"/>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0"/>
      <c r="M26" s="2485"/>
      <c r="N26" s="2485"/>
      <c r="O26" s="2540"/>
      <c r="P26" s="3369"/>
      <c r="Q26" s="1261"/>
      <c r="R26" s="665"/>
      <c r="S26" s="666"/>
      <c r="T26" s="665"/>
      <c r="U26" s="666"/>
      <c r="V26" s="665"/>
      <c r="W26" s="666"/>
      <c r="X26" s="1263"/>
      <c r="Y26" s="3369"/>
      <c r="Z26" s="1262"/>
      <c r="AA26" s="1262">
        <v>1</v>
      </c>
      <c r="AB26" s="1262">
        <v>1</v>
      </c>
      <c r="AC26" s="1262">
        <v>1</v>
      </c>
    </row>
    <row r="27" spans="1:29" s="102" customFormat="1" ht="41.4">
      <c r="A27" s="443"/>
      <c r="B27" s="586" t="s">
        <v>1776</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9"/>
      <c r="Q27" s="530" t="str">
        <f t="shared" si="8"/>
        <v>公共配套设施</v>
      </c>
      <c r="R27" s="662" t="s">
        <v>14</v>
      </c>
      <c r="S27" s="663">
        <f>F27</f>
        <v>100</v>
      </c>
      <c r="T27" s="662" t="s">
        <v>14</v>
      </c>
      <c r="U27" s="663">
        <f>H27</f>
        <v>100</v>
      </c>
      <c r="V27" s="662" t="s">
        <v>14</v>
      </c>
      <c r="W27" s="663">
        <f>J27</f>
        <v>100</v>
      </c>
      <c r="X27" s="664"/>
      <c r="Y27" s="3369"/>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6"/>
      <c r="M28" s="2438"/>
      <c r="N28" s="2438"/>
      <c r="O28" s="2538"/>
      <c r="P28" s="3369"/>
      <c r="Q28" s="530"/>
      <c r="R28" s="662"/>
      <c r="S28" s="663"/>
      <c r="T28" s="662"/>
      <c r="U28" s="663"/>
      <c r="V28" s="662"/>
      <c r="W28" s="663"/>
      <c r="X28" s="664"/>
      <c r="Y28" s="3369"/>
      <c r="Z28" s="50"/>
      <c r="AA28" s="1262">
        <v>1</v>
      </c>
      <c r="AB28" s="1262">
        <v>1</v>
      </c>
      <c r="AC28" s="1262">
        <v>1</v>
      </c>
    </row>
    <row r="29" spans="1:29" s="102" customFormat="1" ht="41.4">
      <c r="A29" s="443"/>
      <c r="B29" s="586" t="s">
        <v>1777</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9"/>
      <c r="Q29" s="530" t="str">
        <f t="shared" ref="Q29" si="9">B29</f>
        <v>基础设施水平</v>
      </c>
      <c r="R29" s="662" t="s">
        <v>14</v>
      </c>
      <c r="S29" s="663">
        <f>F29</f>
        <v>100</v>
      </c>
      <c r="T29" s="662" t="s">
        <v>14</v>
      </c>
      <c r="U29" s="663">
        <f>H29</f>
        <v>100</v>
      </c>
      <c r="V29" s="662" t="s">
        <v>14</v>
      </c>
      <c r="W29" s="663">
        <f>J29</f>
        <v>100</v>
      </c>
      <c r="X29" s="664"/>
      <c r="Y29" s="3369"/>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6"/>
      <c r="M30" s="2438"/>
      <c r="N30" s="2438"/>
      <c r="O30" s="2538"/>
      <c r="P30" s="3369"/>
      <c r="Q30" s="530"/>
      <c r="R30" s="662"/>
      <c r="S30" s="663"/>
      <c r="T30" s="662"/>
      <c r="U30" s="663"/>
      <c r="V30" s="662"/>
      <c r="W30" s="663"/>
      <c r="X30" s="664"/>
      <c r="Y30" s="3369"/>
      <c r="Z30" s="50"/>
      <c r="AA30" s="1262">
        <v>1</v>
      </c>
      <c r="AB30" s="1262">
        <v>1</v>
      </c>
      <c r="AC30" s="1262">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9"/>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69"/>
      <c r="Z31" s="1262" t="str">
        <f t="shared" ref="Z31:Z45" si="13">Q31</f>
        <v>临街状况</v>
      </c>
      <c r="AA31" s="1262">
        <f t="shared" si="3"/>
        <v>1</v>
      </c>
      <c r="AB31" s="1262">
        <f t="shared" si="4"/>
        <v>1</v>
      </c>
      <c r="AC31" s="1262">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9"/>
      <c r="Q32" s="1261" t="str">
        <f t="shared" si="8"/>
        <v>毗邻道路的类型与等级</v>
      </c>
      <c r="R32" s="665" t="s">
        <v>14</v>
      </c>
      <c r="S32" s="666">
        <f t="shared" si="10"/>
        <v>100</v>
      </c>
      <c r="T32" s="665" t="s">
        <v>14</v>
      </c>
      <c r="U32" s="666">
        <f t="shared" si="11"/>
        <v>100</v>
      </c>
      <c r="V32" s="665" t="s">
        <v>14</v>
      </c>
      <c r="W32" s="666">
        <f t="shared" si="12"/>
        <v>100</v>
      </c>
      <c r="X32" s="1263"/>
      <c r="Y32" s="3369"/>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0"/>
      <c r="M33" s="2485"/>
      <c r="N33" s="2485"/>
      <c r="O33" s="2540"/>
      <c r="P33" s="3369"/>
      <c r="Q33" s="1261"/>
      <c r="R33" s="665"/>
      <c r="S33" s="666"/>
      <c r="T33" s="665"/>
      <c r="U33" s="666"/>
      <c r="V33" s="665"/>
      <c r="W33" s="666"/>
      <c r="X33" s="1263"/>
      <c r="Y33" s="3369"/>
      <c r="Z33" s="1262"/>
      <c r="AA33" s="1262">
        <v>1</v>
      </c>
      <c r="AB33" s="1262">
        <v>1</v>
      </c>
      <c r="AC33" s="1262">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9"/>
      <c r="Q34" s="1261" t="str">
        <f t="shared" si="8"/>
        <v>土地级别</v>
      </c>
      <c r="R34" s="665" t="s">
        <v>14</v>
      </c>
      <c r="S34" s="666">
        <f t="shared" si="10"/>
        <v>100</v>
      </c>
      <c r="T34" s="665" t="s">
        <v>14</v>
      </c>
      <c r="U34" s="666">
        <f t="shared" si="11"/>
        <v>100</v>
      </c>
      <c r="V34" s="665" t="s">
        <v>14</v>
      </c>
      <c r="W34" s="666">
        <f t="shared" si="12"/>
        <v>100</v>
      </c>
      <c r="X34" s="1263"/>
      <c r="Y34" s="3369"/>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9"/>
      <c r="Q35" s="1261">
        <f t="shared" si="8"/>
        <v>111</v>
      </c>
      <c r="R35" s="665" t="s">
        <v>14</v>
      </c>
      <c r="S35" s="666">
        <f t="shared" si="10"/>
        <v>100</v>
      </c>
      <c r="T35" s="665" t="s">
        <v>14</v>
      </c>
      <c r="U35" s="666">
        <f t="shared" si="11"/>
        <v>100</v>
      </c>
      <c r="V35" s="665" t="s">
        <v>14</v>
      </c>
      <c r="W35" s="666">
        <f t="shared" si="12"/>
        <v>100</v>
      </c>
      <c r="X35" s="1263"/>
      <c r="Y35" s="3369"/>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3" t="s">
        <v>1694</v>
      </c>
      <c r="Q36" s="1261">
        <f t="shared" si="8"/>
        <v>111</v>
      </c>
      <c r="R36" s="665" t="s">
        <v>14</v>
      </c>
      <c r="S36" s="666">
        <f t="shared" si="10"/>
        <v>100</v>
      </c>
      <c r="T36" s="665" t="s">
        <v>14</v>
      </c>
      <c r="U36" s="666">
        <f t="shared" si="11"/>
        <v>100</v>
      </c>
      <c r="V36" s="665" t="s">
        <v>14</v>
      </c>
      <c r="W36" s="666">
        <f t="shared" si="12"/>
        <v>100</v>
      </c>
      <c r="X36" s="1263"/>
      <c r="Y36" s="3373" t="s">
        <v>1694</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3"/>
      <c r="Q37" s="1261">
        <f t="shared" si="8"/>
        <v>111</v>
      </c>
      <c r="R37" s="667" t="s">
        <v>14</v>
      </c>
      <c r="S37" s="668">
        <f t="shared" si="10"/>
        <v>100</v>
      </c>
      <c r="T37" s="667" t="s">
        <v>14</v>
      </c>
      <c r="U37" s="668">
        <f t="shared" si="11"/>
        <v>100</v>
      </c>
      <c r="V37" s="667" t="s">
        <v>14</v>
      </c>
      <c r="W37" s="668">
        <f t="shared" si="12"/>
        <v>100</v>
      </c>
      <c r="X37" s="669"/>
      <c r="Y37" s="3373"/>
      <c r="Z37" s="670">
        <f t="shared" si="13"/>
        <v>111</v>
      </c>
      <c r="AA37" s="1262">
        <f t="shared" si="3"/>
        <v>1</v>
      </c>
      <c r="AB37" s="1262">
        <f t="shared" si="4"/>
        <v>1</v>
      </c>
      <c r="AC37" s="1262">
        <f t="shared" si="5"/>
        <v>1</v>
      </c>
    </row>
    <row r="38" spans="1:29" ht="15.6">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3"/>
      <c r="Q38" s="1261" t="str">
        <f>B38</f>
        <v>宗地面积</v>
      </c>
      <c r="R38" s="665" t="s">
        <v>14</v>
      </c>
      <c r="S38" s="666" t="e">
        <f t="shared" si="10"/>
        <v>#N/A</v>
      </c>
      <c r="T38" s="665" t="s">
        <v>14</v>
      </c>
      <c r="U38" s="666" t="e">
        <f t="shared" si="11"/>
        <v>#N/A</v>
      </c>
      <c r="V38" s="665" t="s">
        <v>14</v>
      </c>
      <c r="W38" s="666" t="e">
        <f t="shared" si="12"/>
        <v>#N/A</v>
      </c>
      <c r="X38" s="1263"/>
      <c r="Y38" s="3373"/>
      <c r="Z38" s="1262" t="str">
        <f t="shared" si="13"/>
        <v>宗地面积</v>
      </c>
      <c r="AA38" s="1262" t="e">
        <f t="shared" si="3"/>
        <v>#N/A</v>
      </c>
      <c r="AB38" s="1262" t="e">
        <f t="shared" si="4"/>
        <v>#N/A</v>
      </c>
      <c r="AC38" s="1262" t="e">
        <f t="shared" si="5"/>
        <v>#N/A</v>
      </c>
    </row>
    <row r="39" spans="1:29" ht="15">
      <c r="A39" s="409"/>
      <c r="B39" s="364" t="s">
        <v>1873</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373"/>
      <c r="Q39" s="1261" t="str">
        <f t="shared" ref="Q39:Q45" si="14">B39</f>
        <v>宗地形状</v>
      </c>
      <c r="R39" s="665" t="s">
        <v>14</v>
      </c>
      <c r="S39" s="666">
        <f t="shared" si="10"/>
        <v>100</v>
      </c>
      <c r="T39" s="665" t="s">
        <v>14</v>
      </c>
      <c r="U39" s="666">
        <f t="shared" si="11"/>
        <v>100</v>
      </c>
      <c r="V39" s="665" t="s">
        <v>14</v>
      </c>
      <c r="W39" s="666">
        <f t="shared" si="12"/>
        <v>100</v>
      </c>
      <c r="X39" s="1263"/>
      <c r="Y39" s="3373"/>
      <c r="Z39" s="1262" t="str">
        <f t="shared" si="13"/>
        <v>宗地形状</v>
      </c>
      <c r="AA39" s="1262">
        <f t="shared" si="3"/>
        <v>1</v>
      </c>
      <c r="AB39" s="1262">
        <f t="shared" si="4"/>
        <v>1</v>
      </c>
      <c r="AC39" s="1262">
        <f t="shared" si="5"/>
        <v>1</v>
      </c>
    </row>
    <row r="40" spans="1:29" ht="15">
      <c r="A40" s="409"/>
      <c r="B40" s="364" t="s">
        <v>1874</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373"/>
      <c r="Q40" s="1261" t="str">
        <f t="shared" si="14"/>
        <v>临街宽度及深度</v>
      </c>
      <c r="R40" s="665" t="s">
        <v>14</v>
      </c>
      <c r="S40" s="666">
        <f t="shared" si="10"/>
        <v>100</v>
      </c>
      <c r="T40" s="665" t="s">
        <v>14</v>
      </c>
      <c r="U40" s="666">
        <f t="shared" si="11"/>
        <v>100</v>
      </c>
      <c r="V40" s="665" t="s">
        <v>14</v>
      </c>
      <c r="W40" s="666">
        <f t="shared" si="12"/>
        <v>100</v>
      </c>
      <c r="X40" s="1263"/>
      <c r="Y40" s="3373"/>
      <c r="Z40" s="1262" t="str">
        <f t="shared" si="13"/>
        <v>临街宽度及深度</v>
      </c>
      <c r="AA40" s="1262">
        <f t="shared" si="3"/>
        <v>1</v>
      </c>
      <c r="AB40" s="1262">
        <f t="shared" si="4"/>
        <v>1</v>
      </c>
      <c r="AC40" s="1262">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8"/>
      <c r="N41" s="2438"/>
      <c r="O41" s="2538"/>
      <c r="P41" s="3373"/>
      <c r="Q41" s="1261" t="str">
        <f t="shared" si="14"/>
        <v>宗地开发程度</v>
      </c>
      <c r="R41" s="662" t="s">
        <v>14</v>
      </c>
      <c r="S41" s="663">
        <f t="shared" si="10"/>
        <v>100</v>
      </c>
      <c r="T41" s="662" t="s">
        <v>14</v>
      </c>
      <c r="U41" s="663">
        <f t="shared" si="11"/>
        <v>100</v>
      </c>
      <c r="V41" s="662" t="s">
        <v>14</v>
      </c>
      <c r="W41" s="663">
        <f t="shared" si="12"/>
        <v>100</v>
      </c>
      <c r="X41" s="664"/>
      <c r="Y41" s="3373"/>
      <c r="Z41" s="50" t="str">
        <f t="shared" si="13"/>
        <v>宗地开发程度</v>
      </c>
      <c r="AA41" s="50">
        <f t="shared" si="3"/>
        <v>1</v>
      </c>
      <c r="AB41" s="50">
        <f t="shared" si="4"/>
        <v>1</v>
      </c>
      <c r="AC41" s="50">
        <f t="shared" si="5"/>
        <v>1</v>
      </c>
    </row>
    <row r="42" spans="1:29" ht="15">
      <c r="A42" s="409"/>
      <c r="B42" s="364" t="s">
        <v>1876</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373" t="s">
        <v>1694</v>
      </c>
      <c r="Q42" s="1261" t="str">
        <f t="shared" si="14"/>
        <v>工程地质条件</v>
      </c>
      <c r="R42" s="665" t="s">
        <v>14</v>
      </c>
      <c r="S42" s="666">
        <f t="shared" si="10"/>
        <v>100</v>
      </c>
      <c r="T42" s="665" t="s">
        <v>14</v>
      </c>
      <c r="U42" s="666">
        <f t="shared" si="11"/>
        <v>100</v>
      </c>
      <c r="V42" s="665" t="s">
        <v>14</v>
      </c>
      <c r="W42" s="666">
        <f t="shared" si="12"/>
        <v>100</v>
      </c>
      <c r="X42" s="1263"/>
      <c r="Y42" s="3373" t="s">
        <v>1694</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3"/>
      <c r="Q43" s="1261">
        <f t="shared" si="14"/>
        <v>111</v>
      </c>
      <c r="R43" s="665" t="s">
        <v>14</v>
      </c>
      <c r="S43" s="666">
        <f t="shared" si="10"/>
        <v>100</v>
      </c>
      <c r="T43" s="665" t="s">
        <v>14</v>
      </c>
      <c r="U43" s="666">
        <f t="shared" si="11"/>
        <v>100</v>
      </c>
      <c r="V43" s="665" t="s">
        <v>14</v>
      </c>
      <c r="W43" s="666">
        <f t="shared" si="12"/>
        <v>100</v>
      </c>
      <c r="X43" s="1263"/>
      <c r="Y43" s="3373"/>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3"/>
      <c r="Q44" s="1261">
        <f t="shared" si="14"/>
        <v>111</v>
      </c>
      <c r="R44" s="665" t="s">
        <v>14</v>
      </c>
      <c r="S44" s="666">
        <f t="shared" si="10"/>
        <v>100</v>
      </c>
      <c r="T44" s="665" t="s">
        <v>14</v>
      </c>
      <c r="U44" s="666">
        <f t="shared" si="11"/>
        <v>100</v>
      </c>
      <c r="V44" s="665" t="s">
        <v>14</v>
      </c>
      <c r="W44" s="666">
        <f t="shared" si="12"/>
        <v>100</v>
      </c>
      <c r="X44" s="1263"/>
      <c r="Y44" s="3373"/>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3"/>
      <c r="Q45" s="1261">
        <f t="shared" si="14"/>
        <v>111</v>
      </c>
      <c r="R45" s="667" t="s">
        <v>14</v>
      </c>
      <c r="S45" s="668">
        <f t="shared" si="10"/>
        <v>100</v>
      </c>
      <c r="T45" s="667" t="s">
        <v>14</v>
      </c>
      <c r="U45" s="668">
        <f t="shared" si="11"/>
        <v>100</v>
      </c>
      <c r="V45" s="667" t="s">
        <v>14</v>
      </c>
      <c r="W45" s="668">
        <f t="shared" si="12"/>
        <v>100</v>
      </c>
      <c r="X45" s="669"/>
      <c r="Y45" s="3373"/>
      <c r="Z45" s="670">
        <f t="shared" si="13"/>
        <v>111</v>
      </c>
      <c r="AA45" s="1262">
        <f t="shared" si="3"/>
        <v>1</v>
      </c>
      <c r="AB45" s="1262">
        <f t="shared" si="4"/>
        <v>1</v>
      </c>
      <c r="AC45" s="1262">
        <f t="shared" si="5"/>
        <v>1</v>
      </c>
    </row>
    <row r="46" spans="1:29" ht="14.4">
      <c r="A46" s="416" t="s">
        <v>1842</v>
      </c>
      <c r="B46" s="1828" t="s">
        <v>1877</v>
      </c>
      <c r="C46" s="602" t="s">
        <v>0</v>
      </c>
      <c r="D46" s="418"/>
      <c r="E46" s="419"/>
      <c r="F46" s="420"/>
      <c r="G46" s="421"/>
      <c r="H46" s="422"/>
      <c r="I46" s="419"/>
      <c r="J46" s="422"/>
      <c r="K46" s="672"/>
      <c r="L46" s="2492"/>
      <c r="M46" s="2485"/>
      <c r="N46" s="2485"/>
      <c r="O46" s="2485"/>
      <c r="P46" s="3361" t="str">
        <f>A46</f>
        <v>成交单价</v>
      </c>
      <c r="Q46" s="3361"/>
      <c r="R46" s="3362">
        <f>E46</f>
        <v>0</v>
      </c>
      <c r="S46" s="3362"/>
      <c r="T46" s="3362">
        <f>G46</f>
        <v>0</v>
      </c>
      <c r="U46" s="3362"/>
      <c r="V46" s="3362">
        <f>I46</f>
        <v>0</v>
      </c>
      <c r="W46" s="3362"/>
      <c r="X46" s="385"/>
      <c r="Y46" s="671"/>
      <c r="Z46" s="385"/>
      <c r="AA46" s="385"/>
      <c r="AB46" s="385"/>
      <c r="AC46" s="385"/>
    </row>
    <row r="47" spans="1:29" ht="15" thickBot="1">
      <c r="A47" s="423" t="s">
        <v>1791</v>
      </c>
      <c r="B47" s="603"/>
      <c r="C47" s="426" t="e">
        <f>R48</f>
        <v>#DIV/0!</v>
      </c>
      <c r="D47" s="2139" t="s">
        <v>2135</v>
      </c>
      <c r="E47" s="426" t="e">
        <f>R47</f>
        <v>#DIV/0!</v>
      </c>
      <c r="F47" s="2140"/>
      <c r="G47" s="425" t="e">
        <f>T47</f>
        <v>#DIV/0!</v>
      </c>
      <c r="H47" s="2140"/>
      <c r="I47" s="426" t="e">
        <f>V47</f>
        <v>#DIV/0!</v>
      </c>
      <c r="J47" s="2140"/>
      <c r="K47" s="2142">
        <f>F47+H47+J47</f>
        <v>0</v>
      </c>
      <c r="L47" s="2492"/>
      <c r="M47" s="2485"/>
      <c r="N47" s="2485"/>
      <c r="O47" s="2485"/>
      <c r="P47" s="3361" t="str">
        <f>A47</f>
        <v>比较价值（元/平方米）</v>
      </c>
      <c r="Q47" s="3361"/>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 thickBot="1">
      <c r="A48" s="427" t="s">
        <v>1878</v>
      </c>
      <c r="B48" s="428"/>
      <c r="C48" s="429" t="e">
        <f>R48</f>
        <v>#DIV/0!</v>
      </c>
      <c r="D48" s="429"/>
      <c r="E48" s="429"/>
      <c r="F48" s="429"/>
      <c r="G48" s="429"/>
      <c r="H48" s="429"/>
      <c r="I48" s="429"/>
      <c r="J48" s="429"/>
      <c r="K48" s="673"/>
      <c r="L48" s="2492"/>
      <c r="M48" s="2485"/>
      <c r="N48" s="2485"/>
      <c r="O48" s="2485"/>
      <c r="P48" s="3462" t="str">
        <f>A48</f>
        <v>估价对象XX用房的比较价值（楼面单价，元/平方米）</v>
      </c>
      <c r="Q48" s="3463"/>
      <c r="R48" s="3476" t="e">
        <f>ROUND(IF(D47="简单平均",AVERAGE(R47:W47),R47*F47+T47*H47+V47*J47),0)</f>
        <v>#DIV/0!</v>
      </c>
      <c r="S48" s="3476"/>
      <c r="T48" s="3476"/>
      <c r="U48" s="3476"/>
      <c r="V48" s="3476"/>
      <c r="W48" s="347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1879</v>
      </c>
      <c r="B55" s="605" t="s">
        <v>1880</v>
      </c>
      <c r="C55" s="1829" t="s">
        <v>1881</v>
      </c>
      <c r="D55" s="1830" t="s">
        <v>1882</v>
      </c>
      <c r="E55" s="606" t="s">
        <v>1883</v>
      </c>
      <c r="F55" s="835" t="s">
        <v>1884</v>
      </c>
      <c r="G55" s="3378" t="s">
        <v>1885</v>
      </c>
      <c r="H55" s="3477"/>
      <c r="I55" s="127" t="s">
        <v>1886</v>
      </c>
      <c r="J55" s="1831">
        <f>项目基本情况!F35</f>
        <v>0</v>
      </c>
      <c r="K55" s="1832" t="s">
        <v>1887</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1888</v>
      </c>
      <c r="B56" s="609" t="e">
        <f>C48</f>
        <v>#DIV/0!</v>
      </c>
      <c r="C56" s="610">
        <v>1</v>
      </c>
      <c r="D56" s="888">
        <v>1</v>
      </c>
      <c r="E56" s="610">
        <f>'数据-汇总表'!E8+'数据-汇总表'!E9</f>
        <v>30243.989999999998</v>
      </c>
      <c r="F56" s="831" t="e">
        <f t="shared" ref="F56:F64" si="15">ROUND(B56*E56/10000,0)</f>
        <v>#DIV/0!</v>
      </c>
      <c r="G56" s="3360"/>
      <c r="H56" s="3361"/>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1889</v>
      </c>
      <c r="B57" s="210" t="e">
        <f>ROUND($C$48*C57*D57,0)</f>
        <v>#DIV/0!</v>
      </c>
      <c r="C57" s="163">
        <f t="shared" ref="C57:C64" si="16">IF($C$55="北京市系数",I57,J57)</f>
        <v>0</v>
      </c>
      <c r="D57" s="889">
        <v>0.25</v>
      </c>
      <c r="E57" s="614"/>
      <c r="F57" s="831" t="e">
        <f t="shared" si="15"/>
        <v>#DIV/0!</v>
      </c>
      <c r="G57" s="2748" t="s">
        <v>1890</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1891</v>
      </c>
      <c r="B58" s="210" t="e">
        <f t="shared" ref="B58:B64" si="17">ROUND($C$48*C58*D58,0)</f>
        <v>#DIV/0!</v>
      </c>
      <c r="C58" s="163">
        <f t="shared" si="16"/>
        <v>0</v>
      </c>
      <c r="D58" s="889">
        <v>0.25</v>
      </c>
      <c r="E58" s="614"/>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1892</v>
      </c>
      <c r="B59" s="210" t="e">
        <f t="shared" si="17"/>
        <v>#DIV/0!</v>
      </c>
      <c r="C59" s="163">
        <f t="shared" si="16"/>
        <v>0</v>
      </c>
      <c r="D59" s="889">
        <v>0.25</v>
      </c>
      <c r="E59" s="614"/>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1893</v>
      </c>
      <c r="B60" s="210" t="e">
        <f t="shared" si="17"/>
        <v>#DIV/0!</v>
      </c>
      <c r="C60" s="163">
        <f t="shared" si="16"/>
        <v>0</v>
      </c>
      <c r="D60" s="889">
        <v>0.25</v>
      </c>
      <c r="E60" s="209">
        <f>'数据-汇总表'!E11</f>
        <v>0</v>
      </c>
      <c r="F60" s="831" t="e">
        <f t="shared" si="15"/>
        <v>#DIV/0!</v>
      </c>
      <c r="G60" s="1833" t="s">
        <v>1894</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1895</v>
      </c>
      <c r="B61" s="210" t="e">
        <f t="shared" si="17"/>
        <v>#DIV/0!</v>
      </c>
      <c r="C61" s="163">
        <f t="shared" si="16"/>
        <v>0</v>
      </c>
      <c r="D61" s="889">
        <v>0.25</v>
      </c>
      <c r="E61" s="209">
        <f>'数据-汇总表'!E12</f>
        <v>0</v>
      </c>
      <c r="F61" s="831" t="e">
        <f t="shared" si="15"/>
        <v>#DIV/0!</v>
      </c>
      <c r="G61" s="837" t="s">
        <v>1896</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1897</v>
      </c>
      <c r="B62" s="210" t="e">
        <f t="shared" si="17"/>
        <v>#DIV/0!</v>
      </c>
      <c r="C62" s="163">
        <f t="shared" si="16"/>
        <v>0</v>
      </c>
      <c r="D62" s="889">
        <v>0.25</v>
      </c>
      <c r="E62" s="209">
        <f>'数据-汇总表'!E13</f>
        <v>0</v>
      </c>
      <c r="F62" s="831" t="e">
        <f t="shared" si="15"/>
        <v>#DIV/0!</v>
      </c>
      <c r="G62" s="837" t="s">
        <v>1898</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1899</v>
      </c>
      <c r="B63" s="210" t="e">
        <f t="shared" si="17"/>
        <v>#DIV/0!</v>
      </c>
      <c r="C63" s="163">
        <f t="shared" si="16"/>
        <v>0</v>
      </c>
      <c r="D63" s="889">
        <v>0.25</v>
      </c>
      <c r="E63" s="209">
        <f>'数据-汇总表'!E14</f>
        <v>0</v>
      </c>
      <c r="F63" s="831" t="e">
        <f t="shared" si="15"/>
        <v>#DIV/0!</v>
      </c>
      <c r="G63" s="1833" t="s">
        <v>1890</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1900</v>
      </c>
      <c r="B64" s="210" t="e">
        <f t="shared" si="17"/>
        <v>#DIV/0!</v>
      </c>
      <c r="C64" s="163">
        <f t="shared" si="16"/>
        <v>0</v>
      </c>
      <c r="D64" s="889">
        <v>0.25</v>
      </c>
      <c r="E64" s="209">
        <f>'数据-汇总表'!E15</f>
        <v>0</v>
      </c>
      <c r="F64" s="831" t="e">
        <f t="shared" si="15"/>
        <v>#DIV/0!</v>
      </c>
      <c r="G64" s="1834" t="s">
        <v>1894</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1901</v>
      </c>
      <c r="B65" s="616" t="s">
        <v>22</v>
      </c>
      <c r="C65" s="616" t="s">
        <v>23</v>
      </c>
      <c r="D65" s="616" t="s">
        <v>392</v>
      </c>
      <c r="E65" s="616">
        <f>IF(B46="楼面地价",SUM(E56:E64),'数据-汇总表'!D3)</f>
        <v>30243.989999999998</v>
      </c>
      <c r="F65" s="617"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4"/>
      <c r="C66" s="655"/>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5"/>
      <c r="Q67" s="2485"/>
      <c r="R67" s="2485"/>
      <c r="S67" s="2485"/>
      <c r="T67" s="2485"/>
      <c r="U67" s="2485"/>
      <c r="V67" s="2485"/>
      <c r="W67" s="2485"/>
      <c r="X67" s="2485"/>
      <c r="Y67" s="2485"/>
      <c r="Z67" s="2485"/>
      <c r="AA67" s="2485"/>
      <c r="AB67" s="2485"/>
      <c r="AC67" s="2485"/>
    </row>
    <row r="68" spans="1:29" ht="22.2" thickBot="1">
      <c r="A68" s="656" t="s">
        <v>1796</v>
      </c>
      <c r="B68" s="385"/>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4.4">
      <c r="A69" s="1628" t="s">
        <v>1902</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6"/>
      <c r="Q70" s="2438"/>
      <c r="R70" s="2438"/>
      <c r="S70" s="2438"/>
      <c r="T70" s="2438"/>
      <c r="U70" s="2438"/>
      <c r="V70" s="2438"/>
      <c r="W70" s="2438"/>
      <c r="X70" s="2438"/>
      <c r="Y70" s="2438"/>
      <c r="Z70" s="2438"/>
      <c r="AA70" s="2438"/>
      <c r="AB70" s="2438"/>
      <c r="AC70" s="2438"/>
    </row>
    <row r="71" spans="1:29" s="102" customFormat="1" ht="15" thickBot="1">
      <c r="A71" s="449" t="s">
        <v>1714</v>
      </c>
      <c r="B71" s="450"/>
      <c r="C71" s="451"/>
      <c r="D71" s="452"/>
      <c r="E71" s="452"/>
      <c r="F71" s="452"/>
      <c r="G71" s="452"/>
      <c r="H71" s="452"/>
      <c r="I71" s="452"/>
      <c r="J71" s="452"/>
      <c r="K71" s="452"/>
      <c r="L71" s="452"/>
      <c r="M71" s="453"/>
      <c r="N71" s="452"/>
      <c r="O71" s="887"/>
      <c r="P71" s="2506"/>
      <c r="Q71" s="2506"/>
      <c r="R71" s="2438"/>
      <c r="S71" s="2438"/>
      <c r="T71" s="2438"/>
      <c r="U71" s="2438"/>
      <c r="V71" s="2438"/>
      <c r="W71" s="2438"/>
      <c r="X71" s="2438"/>
      <c r="Y71" s="2438"/>
      <c r="Z71" s="2438"/>
      <c r="AA71" s="2438"/>
      <c r="AB71" s="2438"/>
      <c r="AC71" s="2438"/>
    </row>
    <row r="72" spans="1:29" s="102" customFormat="1" ht="14.4">
      <c r="A72" s="455" t="s">
        <v>1679</v>
      </c>
      <c r="B72" s="444"/>
      <c r="C72" s="456" t="s">
        <v>1774</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1717</v>
      </c>
      <c r="B74" s="460" t="s">
        <v>1683</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1686</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1688</v>
      </c>
      <c r="B87" s="460" t="s">
        <v>1718</v>
      </c>
      <c r="C87" s="504" t="s">
        <v>1719</v>
      </c>
      <c r="D87" s="504" t="s">
        <v>1720</v>
      </c>
      <c r="E87" s="504" t="s">
        <v>1721</v>
      </c>
      <c r="F87" s="504" t="s">
        <v>1722</v>
      </c>
      <c r="G87" s="504" t="s">
        <v>1723</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1904</v>
      </c>
      <c r="C89" s="509" t="s">
        <v>1719</v>
      </c>
      <c r="D89" s="509" t="s">
        <v>1720</v>
      </c>
      <c r="E89" s="509" t="s">
        <v>1721</v>
      </c>
      <c r="F89" s="509" t="s">
        <v>1722</v>
      </c>
      <c r="G89" s="509" t="s">
        <v>1723</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1819</v>
      </c>
      <c r="C91" s="509" t="s">
        <v>1719</v>
      </c>
      <c r="D91" s="509" t="s">
        <v>1720</v>
      </c>
      <c r="E91" s="509" t="s">
        <v>1721</v>
      </c>
      <c r="F91" s="509" t="s">
        <v>1722</v>
      </c>
      <c r="G91" s="509" t="s">
        <v>1723</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1724</v>
      </c>
      <c r="C93" s="509" t="s">
        <v>1719</v>
      </c>
      <c r="D93" s="509" t="s">
        <v>1720</v>
      </c>
      <c r="E93" s="509" t="s">
        <v>1721</v>
      </c>
      <c r="F93" s="509" t="s">
        <v>1722</v>
      </c>
      <c r="G93" s="509" t="s">
        <v>1723</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1813</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1871</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1912</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1913</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1914</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1915</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49"/>
      <c r="E1" s="649"/>
      <c r="F1" s="648" t="s">
        <v>1765</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1460</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1767</v>
      </c>
      <c r="B4" s="346"/>
      <c r="C4" s="3378" t="s">
        <v>1768</v>
      </c>
      <c r="D4" s="3379"/>
      <c r="E4" s="3380" t="s">
        <v>1769</v>
      </c>
      <c r="F4" s="3381"/>
      <c r="G4" s="3378" t="s">
        <v>1770</v>
      </c>
      <c r="H4" s="3379"/>
      <c r="I4" s="3378" t="s">
        <v>1771</v>
      </c>
      <c r="J4" s="3379"/>
      <c r="K4" s="537" t="s">
        <v>1772</v>
      </c>
      <c r="L4" s="2484"/>
      <c r="M4" s="2485"/>
      <c r="N4" s="2485"/>
      <c r="O4" s="2485"/>
      <c r="P4" s="3466" t="s">
        <v>1773</v>
      </c>
      <c r="Q4" s="3467"/>
      <c r="R4" s="3470" t="s">
        <v>1769</v>
      </c>
      <c r="S4" s="3471"/>
      <c r="T4" s="3470" t="s">
        <v>1770</v>
      </c>
      <c r="U4" s="3471"/>
      <c r="V4" s="3362" t="s">
        <v>1771</v>
      </c>
      <c r="W4" s="3362"/>
      <c r="X4" s="1263"/>
      <c r="Y4" s="3470" t="s">
        <v>1773</v>
      </c>
      <c r="Z4" s="3471"/>
      <c r="AA4" s="3465" t="s">
        <v>1769</v>
      </c>
      <c r="AB4" s="3407" t="s">
        <v>1770</v>
      </c>
      <c r="AC4" s="3465" t="s">
        <v>1771</v>
      </c>
    </row>
    <row r="5" spans="1:29">
      <c r="A5" s="348"/>
      <c r="B5" s="349"/>
      <c r="C5" s="3403" t="s">
        <v>1671</v>
      </c>
      <c r="D5" s="3398"/>
      <c r="E5" s="3472" t="s">
        <v>1672</v>
      </c>
      <c r="F5" s="3410"/>
      <c r="G5" s="3403" t="s">
        <v>1673</v>
      </c>
      <c r="H5" s="3398"/>
      <c r="I5" s="3403" t="s">
        <v>1674</v>
      </c>
      <c r="J5" s="3398"/>
      <c r="K5" s="537"/>
      <c r="L5" s="2484"/>
      <c r="M5" s="2485"/>
      <c r="N5" s="2485"/>
      <c r="O5" s="2485"/>
      <c r="P5" s="3468"/>
      <c r="Q5" s="3385"/>
      <c r="R5" s="3390"/>
      <c r="S5" s="3391"/>
      <c r="T5" s="3390"/>
      <c r="U5" s="3391"/>
      <c r="V5" s="3362"/>
      <c r="W5" s="3362"/>
      <c r="X5" s="1263"/>
      <c r="Y5" s="3390"/>
      <c r="Z5" s="3391"/>
      <c r="AA5" s="3407"/>
      <c r="AB5" s="3407"/>
      <c r="AC5" s="3407"/>
    </row>
    <row r="6" spans="1:29" ht="15" thickBot="1">
      <c r="A6" s="350"/>
      <c r="B6" s="351"/>
      <c r="C6" s="3478" t="s">
        <v>1917</v>
      </c>
      <c r="D6" s="3479"/>
      <c r="E6" s="3480" t="s">
        <v>1917</v>
      </c>
      <c r="F6" s="3481"/>
      <c r="G6" s="3478" t="s">
        <v>1917</v>
      </c>
      <c r="H6" s="3479"/>
      <c r="I6" s="3478" t="s">
        <v>1917</v>
      </c>
      <c r="J6" s="3479"/>
      <c r="K6" s="537" t="s">
        <v>1676</v>
      </c>
      <c r="L6" s="2484"/>
      <c r="M6" s="2485"/>
      <c r="N6" s="2485"/>
      <c r="O6" s="2485"/>
      <c r="P6" s="3469"/>
      <c r="Q6" s="3387"/>
      <c r="R6" s="3390"/>
      <c r="S6" s="3391"/>
      <c r="T6" s="3392"/>
      <c r="U6" s="3393"/>
      <c r="V6" s="3362"/>
      <c r="W6" s="3362"/>
      <c r="X6" s="1263"/>
      <c r="Y6" s="3392"/>
      <c r="Z6" s="3393"/>
      <c r="AA6" s="3408"/>
      <c r="AB6" s="3408"/>
      <c r="AC6" s="3408"/>
    </row>
    <row r="7" spans="1:29" s="102" customFormat="1" ht="15" thickBot="1">
      <c r="A7" s="352" t="s">
        <v>1677</v>
      </c>
      <c r="B7" s="353"/>
      <c r="C7" s="354">
        <f>'数据-取费表'!B2</f>
        <v>45775</v>
      </c>
      <c r="D7" s="355">
        <v>100</v>
      </c>
      <c r="E7" s="356"/>
      <c r="F7" s="357">
        <f>SUMIF(65:65,YEAR(E7)&amp;"-"&amp;INT((MONTH(E7)+2)/3),66:66)</f>
        <v>0</v>
      </c>
      <c r="G7" s="1820"/>
      <c r="H7" s="355">
        <f>SUMIF(65:65,YEAR(G7)&amp;"-"&amp;INT((MONTH(G7)+2)/3),66:66)</f>
        <v>0</v>
      </c>
      <c r="I7" s="1820"/>
      <c r="J7" s="355">
        <f>SUMIF(65:65,YEAR(I7)&amp;"-"&amp;INT((MONTH(I7)+2)/3),66:66)</f>
        <v>0</v>
      </c>
      <c r="K7" s="38"/>
      <c r="L7" s="2486"/>
      <c r="M7" s="2438"/>
      <c r="N7" s="2438"/>
      <c r="O7" s="2438"/>
      <c r="P7" s="3401" t="s">
        <v>1678</v>
      </c>
      <c r="Q7" s="3402"/>
      <c r="R7" s="662" t="s">
        <v>14</v>
      </c>
      <c r="S7" s="663">
        <f t="shared" ref="S7:S15" si="0">F7</f>
        <v>0</v>
      </c>
      <c r="T7" s="662" t="s">
        <v>14</v>
      </c>
      <c r="U7" s="663">
        <f t="shared" ref="U7:U15" si="1">H7</f>
        <v>0</v>
      </c>
      <c r="V7" s="662" t="s">
        <v>14</v>
      </c>
      <c r="W7" s="663">
        <f t="shared" ref="W7:W15" si="2">J7</f>
        <v>0</v>
      </c>
      <c r="X7" s="664"/>
      <c r="Y7" s="3401" t="s">
        <v>1678</v>
      </c>
      <c r="Z7" s="3400"/>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1" t="s">
        <v>1681</v>
      </c>
      <c r="Q8" s="3400"/>
      <c r="R8" s="662" t="s">
        <v>14</v>
      </c>
      <c r="S8" s="663">
        <f t="shared" si="0"/>
        <v>0</v>
      </c>
      <c r="T8" s="662" t="s">
        <v>14</v>
      </c>
      <c r="U8" s="663">
        <f t="shared" si="1"/>
        <v>0</v>
      </c>
      <c r="V8" s="662" t="s">
        <v>14</v>
      </c>
      <c r="W8" s="663">
        <f t="shared" si="2"/>
        <v>0</v>
      </c>
      <c r="X8" s="664"/>
      <c r="Y8" s="3401" t="s">
        <v>1681</v>
      </c>
      <c r="Z8" s="3400"/>
      <c r="AA8" s="50" t="e">
        <f t="shared" ref="AA8:AA40" si="3">D8/F8</f>
        <v>#DIV/0!</v>
      </c>
      <c r="AB8" s="50" t="e">
        <f t="shared" ref="AB8:AB40" si="4">D8/H8</f>
        <v>#DIV/0!</v>
      </c>
      <c r="AC8" s="50" t="e">
        <f t="shared" ref="AC8:AC40" si="5">D8/J8</f>
        <v>#DIV/0!</v>
      </c>
    </row>
    <row r="9" spans="1:29" s="102" customFormat="1" ht="14.4">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6"/>
      <c r="M9" s="2438"/>
      <c r="N9" s="2438"/>
      <c r="O9" s="2538"/>
      <c r="P9" s="3361" t="s">
        <v>1684</v>
      </c>
      <c r="Q9" s="530" t="str">
        <f t="shared" ref="Q9:Q15" si="6">B9</f>
        <v>用途</v>
      </c>
      <c r="R9" s="662" t="s">
        <v>14</v>
      </c>
      <c r="S9" s="663">
        <f t="shared" si="0"/>
        <v>100</v>
      </c>
      <c r="T9" s="662" t="s">
        <v>14</v>
      </c>
      <c r="U9" s="663">
        <f t="shared" si="1"/>
        <v>100</v>
      </c>
      <c r="V9" s="662" t="s">
        <v>14</v>
      </c>
      <c r="W9" s="663">
        <f t="shared" si="2"/>
        <v>100</v>
      </c>
      <c r="X9" s="664"/>
      <c r="Y9" s="3264"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132</v>
      </c>
      <c r="G10" s="371"/>
      <c r="H10" s="119">
        <f>ROUND(100/'数据-取费表'!G16,0)</f>
        <v>132</v>
      </c>
      <c r="I10" s="371"/>
      <c r="J10" s="119">
        <f>ROUND(100/'数据-取费表'!G16,0)</f>
        <v>132</v>
      </c>
      <c r="K10" s="592"/>
      <c r="L10" s="2487"/>
      <c r="M10" s="2488"/>
      <c r="N10" s="2488"/>
      <c r="O10" s="2539"/>
      <c r="P10" s="3361"/>
      <c r="Q10" s="530" t="str">
        <f t="shared" si="6"/>
        <v>土地使用年限（年）</v>
      </c>
      <c r="R10" s="662" t="s">
        <v>14</v>
      </c>
      <c r="S10" s="663">
        <f t="shared" si="0"/>
        <v>132</v>
      </c>
      <c r="T10" s="662" t="s">
        <v>14</v>
      </c>
      <c r="U10" s="663">
        <f t="shared" si="1"/>
        <v>132</v>
      </c>
      <c r="V10" s="662" t="s">
        <v>14</v>
      </c>
      <c r="W10" s="663">
        <f t="shared" si="2"/>
        <v>132</v>
      </c>
      <c r="X10" s="664"/>
      <c r="Y10" s="3264"/>
      <c r="Z10" s="50" t="str">
        <f t="shared" si="7"/>
        <v>土地使用年限（年）</v>
      </c>
      <c r="AA10" s="50">
        <f t="shared" si="3"/>
        <v>0.75757575757575757</v>
      </c>
      <c r="AB10" s="50">
        <f t="shared" si="4"/>
        <v>0.75757575757575757</v>
      </c>
      <c r="AC10" s="50">
        <f t="shared" si="5"/>
        <v>0.75757575757575757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1"/>
      <c r="Q11" s="530" t="str">
        <f t="shared" si="6"/>
        <v>容积率</v>
      </c>
      <c r="R11" s="662" t="s">
        <v>14</v>
      </c>
      <c r="S11" s="663" t="e">
        <f t="shared" si="0"/>
        <v>#N/A</v>
      </c>
      <c r="T11" s="662" t="s">
        <v>14</v>
      </c>
      <c r="U11" s="663" t="e">
        <f t="shared" si="1"/>
        <v>#N/A</v>
      </c>
      <c r="V11" s="662" t="s">
        <v>14</v>
      </c>
      <c r="W11" s="663" t="e">
        <f t="shared" si="2"/>
        <v>#N/A</v>
      </c>
      <c r="X11" s="664"/>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1"/>
      <c r="Q12" s="530">
        <f t="shared" si="6"/>
        <v>111</v>
      </c>
      <c r="R12" s="662" t="s">
        <v>14</v>
      </c>
      <c r="S12" s="663">
        <f t="shared" si="0"/>
        <v>100</v>
      </c>
      <c r="T12" s="662" t="s">
        <v>14</v>
      </c>
      <c r="U12" s="663">
        <f t="shared" si="1"/>
        <v>100</v>
      </c>
      <c r="V12" s="662" t="s">
        <v>14</v>
      </c>
      <c r="W12" s="663">
        <f t="shared" si="2"/>
        <v>100</v>
      </c>
      <c r="X12" s="664"/>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1"/>
      <c r="Q13" s="530">
        <f t="shared" si="6"/>
        <v>111</v>
      </c>
      <c r="R13" s="662" t="s">
        <v>14</v>
      </c>
      <c r="S13" s="663">
        <f t="shared" si="0"/>
        <v>100</v>
      </c>
      <c r="T13" s="662" t="s">
        <v>14</v>
      </c>
      <c r="U13" s="663">
        <f t="shared" si="1"/>
        <v>100</v>
      </c>
      <c r="V13" s="662" t="s">
        <v>14</v>
      </c>
      <c r="W13" s="663">
        <f t="shared" si="2"/>
        <v>100</v>
      </c>
      <c r="X13" s="664"/>
      <c r="Y13" s="3264"/>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1"/>
      <c r="Q14" s="530">
        <f t="shared" si="6"/>
        <v>111</v>
      </c>
      <c r="R14" s="662" t="s">
        <v>14</v>
      </c>
      <c r="S14" s="663">
        <f t="shared" si="0"/>
        <v>100</v>
      </c>
      <c r="T14" s="662" t="s">
        <v>14</v>
      </c>
      <c r="U14" s="663">
        <f t="shared" si="1"/>
        <v>100</v>
      </c>
      <c r="V14" s="662" t="s">
        <v>14</v>
      </c>
      <c r="W14" s="663">
        <f t="shared" si="2"/>
        <v>100</v>
      </c>
      <c r="X14" s="664"/>
      <c r="Y14" s="3264"/>
      <c r="Z14" s="50">
        <f t="shared" si="7"/>
        <v>111</v>
      </c>
      <c r="AA14" s="50">
        <f t="shared" si="3"/>
        <v>1</v>
      </c>
      <c r="AB14" s="50">
        <f t="shared" si="4"/>
        <v>1</v>
      </c>
      <c r="AC14" s="50">
        <f t="shared" si="5"/>
        <v>1</v>
      </c>
    </row>
    <row r="15" spans="1:29" ht="69">
      <c r="A15" s="379" t="s">
        <v>1688</v>
      </c>
      <c r="B15" s="554" t="s">
        <v>1918</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8" t="s">
        <v>1689</v>
      </c>
      <c r="Q15" s="1261" t="str">
        <f t="shared" si="6"/>
        <v>产业集聚程度</v>
      </c>
      <c r="R15" s="665" t="s">
        <v>14</v>
      </c>
      <c r="S15" s="666">
        <f t="shared" si="0"/>
        <v>100</v>
      </c>
      <c r="T15" s="665" t="s">
        <v>14</v>
      </c>
      <c r="U15" s="666">
        <f t="shared" si="1"/>
        <v>100</v>
      </c>
      <c r="V15" s="665" t="s">
        <v>14</v>
      </c>
      <c r="W15" s="666">
        <f t="shared" si="2"/>
        <v>100</v>
      </c>
      <c r="X15" s="1263"/>
      <c r="Y15" s="3368" t="s">
        <v>1689</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0"/>
      <c r="M16" s="2485"/>
      <c r="N16" s="2485"/>
      <c r="O16" s="2540"/>
      <c r="P16" s="3369"/>
      <c r="Q16" s="1261"/>
      <c r="R16" s="665"/>
      <c r="S16" s="666"/>
      <c r="T16" s="665"/>
      <c r="U16" s="666"/>
      <c r="V16" s="665"/>
      <c r="W16" s="666"/>
      <c r="X16" s="1263"/>
      <c r="Y16" s="3369"/>
      <c r="Z16" s="1262"/>
      <c r="AA16" s="1262">
        <v>1</v>
      </c>
      <c r="AB16" s="1262">
        <v>1</v>
      </c>
      <c r="AC16" s="1262">
        <v>1</v>
      </c>
    </row>
    <row r="17" spans="1:29" ht="96.6">
      <c r="A17" s="367"/>
      <c r="B17" s="556" t="s">
        <v>1831</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9"/>
      <c r="Q17" s="1261" t="str">
        <f>B17</f>
        <v>交通便捷度</v>
      </c>
      <c r="R17" s="665" t="s">
        <v>14</v>
      </c>
      <c r="S17" s="666">
        <f>F17</f>
        <v>100</v>
      </c>
      <c r="T17" s="665" t="s">
        <v>14</v>
      </c>
      <c r="U17" s="666">
        <f>H17</f>
        <v>100</v>
      </c>
      <c r="V17" s="665" t="s">
        <v>14</v>
      </c>
      <c r="W17" s="666">
        <f>J17</f>
        <v>100</v>
      </c>
      <c r="X17" s="1263"/>
      <c r="Y17" s="3369"/>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0"/>
      <c r="M18" s="2485"/>
      <c r="N18" s="2485"/>
      <c r="O18" s="2540"/>
      <c r="P18" s="3369"/>
      <c r="Q18" s="1261"/>
      <c r="R18" s="665"/>
      <c r="S18" s="666"/>
      <c r="T18" s="665"/>
      <c r="U18" s="666"/>
      <c r="V18" s="665"/>
      <c r="W18" s="666"/>
      <c r="X18" s="1263"/>
      <c r="Y18" s="3369"/>
      <c r="Z18" s="1262"/>
      <c r="AA18" s="1262">
        <v>1</v>
      </c>
      <c r="AB18" s="1262">
        <v>1</v>
      </c>
      <c r="AC18" s="1262">
        <v>1</v>
      </c>
    </row>
    <row r="19" spans="1:29" ht="28.8">
      <c r="A19" s="367"/>
      <c r="B19" s="556" t="s">
        <v>1869</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9"/>
      <c r="Q19" s="1261" t="str">
        <f t="shared" ref="Q19:Q33" si="8">B19</f>
        <v>区域土地利用方向</v>
      </c>
      <c r="R19" s="665" t="s">
        <v>14</v>
      </c>
      <c r="S19" s="666">
        <f>F19</f>
        <v>100</v>
      </c>
      <c r="T19" s="665" t="s">
        <v>14</v>
      </c>
      <c r="U19" s="666">
        <f>H19</f>
        <v>100</v>
      </c>
      <c r="V19" s="665" t="s">
        <v>14</v>
      </c>
      <c r="W19" s="666">
        <f>J19</f>
        <v>100</v>
      </c>
      <c r="X19" s="1263"/>
      <c r="Y19" s="3369"/>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0"/>
      <c r="M20" s="2485"/>
      <c r="N20" s="2485"/>
      <c r="O20" s="2540"/>
      <c r="P20" s="3369"/>
      <c r="Q20" s="1261"/>
      <c r="R20" s="665"/>
      <c r="S20" s="666"/>
      <c r="T20" s="665"/>
      <c r="U20" s="666"/>
      <c r="V20" s="665"/>
      <c r="W20" s="666"/>
      <c r="X20" s="1263"/>
      <c r="Y20" s="3369"/>
      <c r="Z20" s="1262"/>
      <c r="AA20" s="1262"/>
      <c r="AB20" s="1262"/>
      <c r="AC20" s="1262"/>
    </row>
    <row r="21" spans="1:29" ht="82.8">
      <c r="A21" s="348"/>
      <c r="B21" s="556" t="s">
        <v>1919</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9"/>
      <c r="Q21" s="1261" t="str">
        <f t="shared" si="8"/>
        <v>环境状况</v>
      </c>
      <c r="R21" s="665" t="s">
        <v>14</v>
      </c>
      <c r="S21" s="666">
        <f>F21</f>
        <v>100</v>
      </c>
      <c r="T21" s="665" t="s">
        <v>14</v>
      </c>
      <c r="U21" s="666">
        <f>H21</f>
        <v>100</v>
      </c>
      <c r="V21" s="665" t="s">
        <v>14</v>
      </c>
      <c r="W21" s="666">
        <f>J21</f>
        <v>100</v>
      </c>
      <c r="X21" s="1263"/>
      <c r="Y21" s="3369"/>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0"/>
      <c r="M22" s="2485"/>
      <c r="N22" s="2485"/>
      <c r="O22" s="2540"/>
      <c r="P22" s="3369"/>
      <c r="Q22" s="1261"/>
      <c r="R22" s="665"/>
      <c r="S22" s="666"/>
      <c r="T22" s="665"/>
      <c r="U22" s="666"/>
      <c r="V22" s="665"/>
      <c r="W22" s="666"/>
      <c r="X22" s="1263"/>
      <c r="Y22" s="3369"/>
      <c r="Z22" s="1262"/>
      <c r="AA22" s="1262">
        <v>1</v>
      </c>
      <c r="AB22" s="1262">
        <v>1</v>
      </c>
      <c r="AC22" s="1262">
        <v>1</v>
      </c>
    </row>
    <row r="23" spans="1:29" s="102" customFormat="1" ht="41.4">
      <c r="A23" s="443"/>
      <c r="B23" s="557" t="s">
        <v>1776</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9"/>
      <c r="Q23" s="530" t="str">
        <f t="shared" si="8"/>
        <v>公共配套设施</v>
      </c>
      <c r="R23" s="662" t="s">
        <v>14</v>
      </c>
      <c r="S23" s="663">
        <f>F23</f>
        <v>100</v>
      </c>
      <c r="T23" s="662" t="s">
        <v>14</v>
      </c>
      <c r="U23" s="663">
        <f>H23</f>
        <v>100</v>
      </c>
      <c r="V23" s="662" t="s">
        <v>14</v>
      </c>
      <c r="W23" s="663">
        <f>J23</f>
        <v>100</v>
      </c>
      <c r="X23" s="664"/>
      <c r="Y23" s="3369"/>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6"/>
      <c r="M24" s="2438"/>
      <c r="N24" s="2438"/>
      <c r="O24" s="2538"/>
      <c r="P24" s="3369"/>
      <c r="Q24" s="530"/>
      <c r="R24" s="662"/>
      <c r="S24" s="663"/>
      <c r="T24" s="662"/>
      <c r="U24" s="663"/>
      <c r="V24" s="662"/>
      <c r="W24" s="663"/>
      <c r="X24" s="664"/>
      <c r="Y24" s="3369"/>
      <c r="Z24" s="50"/>
      <c r="AA24" s="50">
        <v>1</v>
      </c>
      <c r="AB24" s="50">
        <v>1</v>
      </c>
      <c r="AC24" s="50">
        <v>1</v>
      </c>
    </row>
    <row r="25" spans="1:29" s="102" customFormat="1" ht="41.4">
      <c r="A25" s="443"/>
      <c r="B25" s="557" t="s">
        <v>1777</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9"/>
      <c r="Q25" s="530" t="str">
        <f t="shared" ref="Q25" si="9">B25</f>
        <v>基础设施水平</v>
      </c>
      <c r="R25" s="662" t="s">
        <v>14</v>
      </c>
      <c r="S25" s="663">
        <f>F25</f>
        <v>100</v>
      </c>
      <c r="T25" s="662" t="s">
        <v>14</v>
      </c>
      <c r="U25" s="663">
        <f>H25</f>
        <v>100</v>
      </c>
      <c r="V25" s="662" t="s">
        <v>14</v>
      </c>
      <c r="W25" s="663">
        <f>J25</f>
        <v>100</v>
      </c>
      <c r="X25" s="664"/>
      <c r="Y25" s="3369"/>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6"/>
      <c r="M26" s="2438"/>
      <c r="N26" s="2438"/>
      <c r="O26" s="2538"/>
      <c r="P26" s="3369"/>
      <c r="Q26" s="530"/>
      <c r="R26" s="662"/>
      <c r="S26" s="663"/>
      <c r="T26" s="662"/>
      <c r="U26" s="663"/>
      <c r="V26" s="662"/>
      <c r="W26" s="663"/>
      <c r="X26" s="664"/>
      <c r="Y26" s="336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9"/>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69"/>
      <c r="Z27" s="1262" t="str">
        <f t="shared" ref="Z27:Z40" si="13">Q27</f>
        <v>临街状况</v>
      </c>
      <c r="AA27" s="1262">
        <f t="shared" si="3"/>
        <v>1</v>
      </c>
      <c r="AB27" s="1262">
        <f t="shared" si="4"/>
        <v>1</v>
      </c>
      <c r="AC27" s="1262">
        <f t="shared" si="5"/>
        <v>1</v>
      </c>
    </row>
    <row r="28" spans="1:29" ht="28.8">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9"/>
      <c r="Q28" s="1261" t="str">
        <f t="shared" si="8"/>
        <v>毗邻道路的类型与等级</v>
      </c>
      <c r="R28" s="665" t="s">
        <v>14</v>
      </c>
      <c r="S28" s="666">
        <f t="shared" si="10"/>
        <v>100</v>
      </c>
      <c r="T28" s="665" t="s">
        <v>14</v>
      </c>
      <c r="U28" s="666">
        <f t="shared" si="11"/>
        <v>100</v>
      </c>
      <c r="V28" s="665" t="s">
        <v>14</v>
      </c>
      <c r="W28" s="666">
        <f t="shared" si="12"/>
        <v>100</v>
      </c>
      <c r="X28" s="1263"/>
      <c r="Y28" s="3369"/>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0"/>
      <c r="M29" s="2485"/>
      <c r="N29" s="2485"/>
      <c r="O29" s="2540"/>
      <c r="P29" s="3369"/>
      <c r="Q29" s="1261"/>
      <c r="R29" s="665"/>
      <c r="S29" s="666"/>
      <c r="T29" s="665"/>
      <c r="U29" s="666"/>
      <c r="V29" s="665"/>
      <c r="W29" s="666"/>
      <c r="X29" s="1263"/>
      <c r="Y29" s="3369"/>
      <c r="Z29" s="1262"/>
      <c r="AA29" s="1262">
        <v>1</v>
      </c>
      <c r="AB29" s="1262">
        <v>1</v>
      </c>
      <c r="AC29" s="1262">
        <v>1</v>
      </c>
    </row>
    <row r="30" spans="1:29" ht="15">
      <c r="A30" s="367"/>
      <c r="B30" s="119" t="s">
        <v>1871</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9"/>
      <c r="Q30" s="1261" t="str">
        <f t="shared" si="8"/>
        <v>土地级别</v>
      </c>
      <c r="R30" s="665" t="s">
        <v>14</v>
      </c>
      <c r="S30" s="666">
        <f t="shared" si="10"/>
        <v>100</v>
      </c>
      <c r="T30" s="665" t="s">
        <v>14</v>
      </c>
      <c r="U30" s="666">
        <f t="shared" si="11"/>
        <v>100</v>
      </c>
      <c r="V30" s="665" t="s">
        <v>14</v>
      </c>
      <c r="W30" s="666">
        <f t="shared" si="12"/>
        <v>100</v>
      </c>
      <c r="X30" s="1263"/>
      <c r="Y30" s="3369"/>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9"/>
      <c r="Q31" s="1261">
        <f t="shared" si="8"/>
        <v>111</v>
      </c>
      <c r="R31" s="665" t="s">
        <v>14</v>
      </c>
      <c r="S31" s="666">
        <f t="shared" si="10"/>
        <v>100</v>
      </c>
      <c r="T31" s="665" t="s">
        <v>14</v>
      </c>
      <c r="U31" s="666">
        <f t="shared" si="11"/>
        <v>100</v>
      </c>
      <c r="V31" s="665" t="s">
        <v>14</v>
      </c>
      <c r="W31" s="666">
        <f t="shared" si="12"/>
        <v>100</v>
      </c>
      <c r="X31" s="1263"/>
      <c r="Y31" s="3369"/>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3" t="s">
        <v>1694</v>
      </c>
      <c r="Q32" s="1261">
        <f t="shared" si="8"/>
        <v>111</v>
      </c>
      <c r="R32" s="665" t="s">
        <v>14</v>
      </c>
      <c r="S32" s="666">
        <f t="shared" si="10"/>
        <v>100</v>
      </c>
      <c r="T32" s="665" t="s">
        <v>14</v>
      </c>
      <c r="U32" s="666">
        <f t="shared" si="11"/>
        <v>100</v>
      </c>
      <c r="V32" s="665" t="s">
        <v>14</v>
      </c>
      <c r="W32" s="666">
        <f t="shared" si="12"/>
        <v>100</v>
      </c>
      <c r="X32" s="1263"/>
      <c r="Y32" s="3373" t="s">
        <v>1694</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3"/>
      <c r="Q33" s="1261">
        <f t="shared" si="8"/>
        <v>111</v>
      </c>
      <c r="R33" s="667" t="s">
        <v>14</v>
      </c>
      <c r="S33" s="668">
        <f t="shared" si="10"/>
        <v>100</v>
      </c>
      <c r="T33" s="667" t="s">
        <v>14</v>
      </c>
      <c r="U33" s="668">
        <f t="shared" si="11"/>
        <v>100</v>
      </c>
      <c r="V33" s="667" t="s">
        <v>14</v>
      </c>
      <c r="W33" s="668">
        <f t="shared" si="12"/>
        <v>100</v>
      </c>
      <c r="X33" s="669"/>
      <c r="Y33" s="3373"/>
      <c r="Z33" s="670">
        <f t="shared" si="13"/>
        <v>111</v>
      </c>
      <c r="AA33" s="1262">
        <f t="shared" si="3"/>
        <v>1</v>
      </c>
      <c r="AB33" s="1262">
        <f t="shared" si="4"/>
        <v>1</v>
      </c>
      <c r="AC33" s="1262">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3"/>
      <c r="Q34" s="1261" t="str">
        <f>B34</f>
        <v>宗地面积</v>
      </c>
      <c r="R34" s="665" t="s">
        <v>14</v>
      </c>
      <c r="S34" s="666" t="e">
        <f t="shared" si="10"/>
        <v>#N/A</v>
      </c>
      <c r="T34" s="665" t="s">
        <v>14</v>
      </c>
      <c r="U34" s="666" t="e">
        <f t="shared" si="11"/>
        <v>#N/A</v>
      </c>
      <c r="V34" s="665" t="s">
        <v>14</v>
      </c>
      <c r="W34" s="666" t="e">
        <f t="shared" si="12"/>
        <v>#N/A</v>
      </c>
      <c r="X34" s="1263"/>
      <c r="Y34" s="3373"/>
      <c r="Z34" s="1262" t="str">
        <f t="shared" si="13"/>
        <v>宗地面积</v>
      </c>
      <c r="AA34" s="1262" t="e">
        <f t="shared" si="3"/>
        <v>#N/A</v>
      </c>
      <c r="AB34" s="1262" t="e">
        <f t="shared" si="4"/>
        <v>#N/A</v>
      </c>
      <c r="AC34" s="1262" t="e">
        <f t="shared" si="5"/>
        <v>#N/A</v>
      </c>
    </row>
    <row r="35" spans="1:31" ht="15">
      <c r="A35" s="409"/>
      <c r="B35" s="364" t="s">
        <v>1873</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373"/>
      <c r="Q35" s="1261" t="str">
        <f t="shared" ref="Q35:Q40" si="14">B35</f>
        <v>宗地形状</v>
      </c>
      <c r="R35" s="665" t="s">
        <v>14</v>
      </c>
      <c r="S35" s="666">
        <f t="shared" si="10"/>
        <v>100</v>
      </c>
      <c r="T35" s="665" t="s">
        <v>14</v>
      </c>
      <c r="U35" s="666">
        <f t="shared" si="11"/>
        <v>100</v>
      </c>
      <c r="V35" s="665" t="s">
        <v>14</v>
      </c>
      <c r="W35" s="666">
        <f t="shared" si="12"/>
        <v>100</v>
      </c>
      <c r="X35" s="1263"/>
      <c r="Y35" s="3373"/>
      <c r="Z35" s="1262" t="str">
        <f t="shared" si="13"/>
        <v>宗地形状</v>
      </c>
      <c r="AA35" s="1262">
        <f t="shared" si="3"/>
        <v>1</v>
      </c>
      <c r="AB35" s="1262">
        <f t="shared" si="4"/>
        <v>1</v>
      </c>
      <c r="AC35" s="1262">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8"/>
      <c r="N36" s="2438"/>
      <c r="O36" s="2538"/>
      <c r="P36" s="3373"/>
      <c r="Q36" s="1261" t="str">
        <f t="shared" si="14"/>
        <v>宗地开发程度</v>
      </c>
      <c r="R36" s="662" t="s">
        <v>14</v>
      </c>
      <c r="S36" s="663">
        <f t="shared" si="10"/>
        <v>100</v>
      </c>
      <c r="T36" s="662" t="s">
        <v>14</v>
      </c>
      <c r="U36" s="663">
        <f t="shared" si="11"/>
        <v>100</v>
      </c>
      <c r="V36" s="662" t="s">
        <v>14</v>
      </c>
      <c r="W36" s="663">
        <f t="shared" si="12"/>
        <v>100</v>
      </c>
      <c r="X36" s="664"/>
      <c r="Y36" s="3373"/>
      <c r="Z36" s="50" t="str">
        <f t="shared" si="13"/>
        <v>宗地开发程度</v>
      </c>
      <c r="AA36" s="50">
        <f t="shared" si="3"/>
        <v>1</v>
      </c>
      <c r="AB36" s="50">
        <f t="shared" si="4"/>
        <v>1</v>
      </c>
      <c r="AC36" s="50">
        <f t="shared" si="5"/>
        <v>1</v>
      </c>
    </row>
    <row r="37" spans="1:31" ht="15">
      <c r="A37" s="409"/>
      <c r="B37" s="364" t="s">
        <v>1876</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373" t="s">
        <v>1694</v>
      </c>
      <c r="Q37" s="1261" t="str">
        <f t="shared" si="14"/>
        <v>工程地质条件</v>
      </c>
      <c r="R37" s="665" t="s">
        <v>14</v>
      </c>
      <c r="S37" s="666">
        <f t="shared" si="10"/>
        <v>100</v>
      </c>
      <c r="T37" s="665" t="s">
        <v>14</v>
      </c>
      <c r="U37" s="666">
        <f t="shared" si="11"/>
        <v>100</v>
      </c>
      <c r="V37" s="665" t="s">
        <v>14</v>
      </c>
      <c r="W37" s="666">
        <f t="shared" si="12"/>
        <v>100</v>
      </c>
      <c r="X37" s="1263"/>
      <c r="Y37" s="3373" t="s">
        <v>1694</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3"/>
      <c r="Q38" s="1261">
        <f t="shared" si="14"/>
        <v>111</v>
      </c>
      <c r="R38" s="665" t="s">
        <v>14</v>
      </c>
      <c r="S38" s="666">
        <f t="shared" si="10"/>
        <v>100</v>
      </c>
      <c r="T38" s="665" t="s">
        <v>14</v>
      </c>
      <c r="U38" s="666">
        <f t="shared" si="11"/>
        <v>100</v>
      </c>
      <c r="V38" s="665" t="s">
        <v>14</v>
      </c>
      <c r="W38" s="666">
        <f t="shared" si="12"/>
        <v>100</v>
      </c>
      <c r="X38" s="1263"/>
      <c r="Y38" s="3373"/>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3"/>
      <c r="Q39" s="1261">
        <f t="shared" si="14"/>
        <v>111</v>
      </c>
      <c r="R39" s="665" t="s">
        <v>14</v>
      </c>
      <c r="S39" s="666">
        <f t="shared" si="10"/>
        <v>100</v>
      </c>
      <c r="T39" s="665" t="s">
        <v>14</v>
      </c>
      <c r="U39" s="666">
        <f t="shared" si="11"/>
        <v>100</v>
      </c>
      <c r="V39" s="665" t="s">
        <v>14</v>
      </c>
      <c r="W39" s="666">
        <f t="shared" si="12"/>
        <v>100</v>
      </c>
      <c r="X39" s="1263"/>
      <c r="Y39" s="3373"/>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3"/>
      <c r="Q40" s="1261">
        <f t="shared" si="14"/>
        <v>111</v>
      </c>
      <c r="R40" s="667" t="s">
        <v>14</v>
      </c>
      <c r="S40" s="668">
        <f t="shared" si="10"/>
        <v>100</v>
      </c>
      <c r="T40" s="667" t="s">
        <v>14</v>
      </c>
      <c r="U40" s="668">
        <f t="shared" si="11"/>
        <v>100</v>
      </c>
      <c r="V40" s="667" t="s">
        <v>14</v>
      </c>
      <c r="W40" s="668">
        <f t="shared" si="12"/>
        <v>100</v>
      </c>
      <c r="X40" s="669"/>
      <c r="Y40" s="3373"/>
      <c r="Z40" s="670">
        <f t="shared" si="13"/>
        <v>111</v>
      </c>
      <c r="AA40" s="1262">
        <f t="shared" si="3"/>
        <v>1</v>
      </c>
      <c r="AB40" s="1262">
        <f t="shared" si="4"/>
        <v>1</v>
      </c>
      <c r="AC40" s="1262">
        <f t="shared" si="5"/>
        <v>1</v>
      </c>
    </row>
    <row r="41" spans="1:31" ht="14.4">
      <c r="A41" s="416" t="s">
        <v>1842</v>
      </c>
      <c r="B41" s="1828" t="s">
        <v>1920</v>
      </c>
      <c r="C41" s="602" t="s">
        <v>0</v>
      </c>
      <c r="D41" s="418"/>
      <c r="E41" s="419"/>
      <c r="F41" s="420"/>
      <c r="G41" s="421"/>
      <c r="H41" s="422"/>
      <c r="I41" s="419"/>
      <c r="J41" s="422"/>
      <c r="K41" s="672"/>
      <c r="L41" s="2492"/>
      <c r="M41" s="2485"/>
      <c r="N41" s="2485"/>
      <c r="O41" s="2485"/>
      <c r="P41" s="3361" t="str">
        <f>A41</f>
        <v>成交单价</v>
      </c>
      <c r="Q41" s="3361"/>
      <c r="R41" s="3362">
        <f>E41</f>
        <v>0</v>
      </c>
      <c r="S41" s="3362"/>
      <c r="T41" s="3362">
        <f>G41</f>
        <v>0</v>
      </c>
      <c r="U41" s="3362"/>
      <c r="V41" s="3362">
        <f>I41</f>
        <v>0</v>
      </c>
      <c r="W41" s="3362"/>
      <c r="X41" s="385"/>
      <c r="Y41" s="671"/>
      <c r="Z41" s="385"/>
      <c r="AA41" s="385"/>
      <c r="AB41" s="385"/>
      <c r="AC41" s="385"/>
    </row>
    <row r="42" spans="1:31" ht="15" thickBot="1">
      <c r="A42" s="423" t="s">
        <v>1791</v>
      </c>
      <c r="B42" s="603"/>
      <c r="C42" s="426" t="e">
        <f>R43</f>
        <v>#DIV/0!</v>
      </c>
      <c r="D42" s="2139" t="s">
        <v>2135</v>
      </c>
      <c r="E42" s="426" t="e">
        <f>R42</f>
        <v>#DIV/0!</v>
      </c>
      <c r="F42" s="2140"/>
      <c r="G42" s="425" t="e">
        <f>T42</f>
        <v>#DIV/0!</v>
      </c>
      <c r="H42" s="2140"/>
      <c r="I42" s="426" t="e">
        <f>V42</f>
        <v>#DIV/0!</v>
      </c>
      <c r="J42" s="2140"/>
      <c r="K42" s="2142">
        <f>F42+H42+J42</f>
        <v>0</v>
      </c>
      <c r="L42" s="2492"/>
      <c r="M42" s="2485"/>
      <c r="N42" s="2485"/>
      <c r="O42" s="2485"/>
      <c r="P42" s="3361" t="str">
        <f>A42</f>
        <v>比较价值（元/平方米）</v>
      </c>
      <c r="Q42" s="3361"/>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 thickBot="1">
      <c r="A43" s="427" t="s">
        <v>1792</v>
      </c>
      <c r="B43" s="428"/>
      <c r="C43" s="429" t="e">
        <f>R43</f>
        <v>#DIV/0!</v>
      </c>
      <c r="D43" s="429"/>
      <c r="E43" s="429"/>
      <c r="F43" s="429"/>
      <c r="G43" s="429"/>
      <c r="H43" s="429"/>
      <c r="I43" s="429"/>
      <c r="J43" s="429"/>
      <c r="K43" s="673"/>
      <c r="L43" s="2492"/>
      <c r="M43" s="2485"/>
      <c r="N43" s="2485"/>
      <c r="O43" s="2485"/>
      <c r="P43" s="3462" t="str">
        <f>A43</f>
        <v>估价对象XX用房的比较价值（楼面单价，元/平方米）</v>
      </c>
      <c r="Q43" s="3463"/>
      <c r="R43" s="3476" t="e">
        <f>ROUND(IF(D42="简单平均",AVERAGE(R42:W42),R42*F42+T42*H42+V42*J42),0)</f>
        <v>#DIV/0!</v>
      </c>
      <c r="S43" s="3476"/>
      <c r="T43" s="3476"/>
      <c r="U43" s="3476"/>
      <c r="V43" s="3476"/>
      <c r="W43" s="347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1879</v>
      </c>
      <c r="B50" s="605" t="s">
        <v>1880</v>
      </c>
      <c r="C50" s="1829" t="s">
        <v>1881</v>
      </c>
      <c r="D50" s="1830" t="s">
        <v>1882</v>
      </c>
      <c r="E50" s="606" t="s">
        <v>1883</v>
      </c>
      <c r="F50" s="607" t="s">
        <v>1884</v>
      </c>
      <c r="G50" s="3378" t="s">
        <v>1885</v>
      </c>
      <c r="H50" s="3477"/>
      <c r="I50" s="1262" t="s">
        <v>1921</v>
      </c>
      <c r="J50" s="1262">
        <f>项目基本情况!F35</f>
        <v>0</v>
      </c>
      <c r="K50" s="1832" t="s">
        <v>1887</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1888</v>
      </c>
      <c r="B51" s="609" t="e">
        <f>C43</f>
        <v>#DIV/0!</v>
      </c>
      <c r="C51" s="610">
        <v>1</v>
      </c>
      <c r="D51" s="888">
        <v>1</v>
      </c>
      <c r="E51" s="610">
        <f>'数据-汇总表'!E8+'数据-汇总表'!E9</f>
        <v>30243.989999999998</v>
      </c>
      <c r="F51" s="611" t="e">
        <f t="shared" ref="F51:F60" si="15">ROUND(B51*E51/10000,0)</f>
        <v>#DIV/0!</v>
      </c>
      <c r="G51" s="3360"/>
      <c r="H51" s="3361"/>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1889</v>
      </c>
      <c r="B52" s="210" t="e">
        <f>ROUND($C$43*C52*D52,0)</f>
        <v>#DIV/0!</v>
      </c>
      <c r="C52" s="163">
        <f t="shared" ref="C52:C60" si="16">IF($C$50="北京市系数",I52,J52)</f>
        <v>0</v>
      </c>
      <c r="D52" s="889">
        <v>0.25</v>
      </c>
      <c r="E52" s="614"/>
      <c r="F52" s="611" t="e">
        <f t="shared" si="15"/>
        <v>#DIV/0!</v>
      </c>
      <c r="G52" s="2748" t="s">
        <v>1890</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1891</v>
      </c>
      <c r="B53" s="210" t="e">
        <f t="shared" ref="B53:B60" si="17">ROUND($C$43*C53*D53,0)</f>
        <v>#DIV/0!</v>
      </c>
      <c r="C53" s="163">
        <f t="shared" si="16"/>
        <v>0</v>
      </c>
      <c r="D53" s="889">
        <v>0.25</v>
      </c>
      <c r="E53" s="614"/>
      <c r="F53" s="611"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1892</v>
      </c>
      <c r="B54" s="210" t="e">
        <f t="shared" si="17"/>
        <v>#DIV/0!</v>
      </c>
      <c r="C54" s="163">
        <f t="shared" si="16"/>
        <v>0</v>
      </c>
      <c r="D54" s="889">
        <v>0.25</v>
      </c>
      <c r="E54" s="614"/>
      <c r="F54" s="611"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1893</v>
      </c>
      <c r="B56" s="210" t="e">
        <f t="shared" si="17"/>
        <v>#DIV/0!</v>
      </c>
      <c r="C56" s="163">
        <f t="shared" si="16"/>
        <v>0</v>
      </c>
      <c r="D56" s="889">
        <v>0.25</v>
      </c>
      <c r="E56" s="209">
        <f>'数据-汇总表'!E11</f>
        <v>0</v>
      </c>
      <c r="F56" s="611" t="e">
        <f t="shared" si="15"/>
        <v>#DIV/0!</v>
      </c>
      <c r="G56" s="1833" t="s">
        <v>1894</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1895</v>
      </c>
      <c r="B57" s="210" t="e">
        <f t="shared" si="17"/>
        <v>#DIV/0!</v>
      </c>
      <c r="C57" s="163">
        <f t="shared" si="16"/>
        <v>0</v>
      </c>
      <c r="D57" s="889">
        <v>0.25</v>
      </c>
      <c r="E57" s="209">
        <f>'数据-汇总表'!E12</f>
        <v>0</v>
      </c>
      <c r="F57" s="611" t="e">
        <f t="shared" si="15"/>
        <v>#DIV/0!</v>
      </c>
      <c r="G57" s="837" t="s">
        <v>1896</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1897</v>
      </c>
      <c r="B58" s="210" t="e">
        <f t="shared" si="17"/>
        <v>#DIV/0!</v>
      </c>
      <c r="C58" s="163">
        <f t="shared" si="16"/>
        <v>0</v>
      </c>
      <c r="D58" s="889">
        <v>0.25</v>
      </c>
      <c r="E58" s="209">
        <f>'数据-汇总表'!E13</f>
        <v>0</v>
      </c>
      <c r="F58" s="611" t="e">
        <f t="shared" si="15"/>
        <v>#DIV/0!</v>
      </c>
      <c r="G58" s="837" t="s">
        <v>1898</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1899</v>
      </c>
      <c r="B59" s="210" t="e">
        <f t="shared" si="17"/>
        <v>#DIV/0!</v>
      </c>
      <c r="C59" s="163">
        <f t="shared" si="16"/>
        <v>0</v>
      </c>
      <c r="D59" s="889">
        <v>0.25</v>
      </c>
      <c r="E59" s="209">
        <f>'数据-汇总表'!E14</f>
        <v>0</v>
      </c>
      <c r="F59" s="611" t="e">
        <f t="shared" si="15"/>
        <v>#DIV/0!</v>
      </c>
      <c r="G59" s="1833" t="s">
        <v>1890</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1900</v>
      </c>
      <c r="B60" s="210" t="e">
        <f t="shared" si="17"/>
        <v>#DIV/0!</v>
      </c>
      <c r="C60" s="163">
        <f t="shared" si="16"/>
        <v>0</v>
      </c>
      <c r="D60" s="889">
        <v>0.25</v>
      </c>
      <c r="E60" s="209">
        <f>'数据-汇总表'!E15</f>
        <v>0</v>
      </c>
      <c r="F60" s="611" t="e">
        <f t="shared" si="15"/>
        <v>#DIV/0!</v>
      </c>
      <c r="G60" s="1834" t="s">
        <v>1894</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1901</v>
      </c>
      <c r="B61" s="616" t="s">
        <v>22</v>
      </c>
      <c r="C61" s="616" t="s">
        <v>23</v>
      </c>
      <c r="D61" s="616" t="s">
        <v>392</v>
      </c>
      <c r="E61" s="616">
        <f>IF(B41="楼面地价",SUM(E51:E60),'数据-汇总表'!D3)</f>
        <v>17362.38</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6" t="s">
        <v>1796</v>
      </c>
      <c r="B64" s="385"/>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2" customFormat="1" ht="14.4">
      <c r="A65" s="1628" t="s">
        <v>1902</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4"/>
      <c r="N66" s="1064"/>
      <c r="O66" s="1097"/>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1714</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1679</v>
      </c>
      <c r="B68" s="444"/>
      <c r="C68" s="456" t="s">
        <v>1774</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1717</v>
      </c>
      <c r="B70" s="460" t="s">
        <v>1683</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1686</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1688</v>
      </c>
      <c r="B83" s="460" t="s">
        <v>1827</v>
      </c>
      <c r="C83" s="504" t="s">
        <v>1719</v>
      </c>
      <c r="D83" s="504" t="s">
        <v>1720</v>
      </c>
      <c r="E83" s="504" t="s">
        <v>1721</v>
      </c>
      <c r="F83" s="504" t="s">
        <v>1722</v>
      </c>
      <c r="G83" s="504" t="s">
        <v>1723</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1724</v>
      </c>
      <c r="C85" s="509" t="s">
        <v>1719</v>
      </c>
      <c r="D85" s="509" t="s">
        <v>1720</v>
      </c>
      <c r="E85" s="509" t="s">
        <v>1721</v>
      </c>
      <c r="F85" s="509" t="s">
        <v>1722</v>
      </c>
      <c r="G85" s="509" t="s">
        <v>1723</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1813</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1871</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1912</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1914</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1915</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2079</v>
      </c>
      <c r="B1" s="4"/>
      <c r="C1" s="4"/>
      <c r="D1" s="4"/>
      <c r="E1" s="4"/>
      <c r="F1" s="2542"/>
      <c r="G1" s="2542"/>
      <c r="H1" s="2542"/>
      <c r="I1" s="2542"/>
      <c r="J1" s="2542"/>
      <c r="K1" s="2542"/>
      <c r="L1" s="2542"/>
      <c r="M1" s="2542"/>
      <c r="N1" s="2542"/>
      <c r="O1" s="2542"/>
      <c r="P1" s="2542"/>
    </row>
    <row r="2" spans="1:16" ht="15.6">
      <c r="A2" s="1982" t="s">
        <v>2071</v>
      </c>
      <c r="B2" s="2386">
        <f ca="1">SUMIF(B6:B13,"&lt;&gt;#ref!",B6:B13)</f>
        <v>6446</v>
      </c>
      <c r="C2" s="1982" t="s">
        <v>2072</v>
      </c>
      <c r="D2" s="1982" t="s">
        <v>2073</v>
      </c>
      <c r="E2" s="2396">
        <f ca="1">SUMIF(E6:E13,"&lt;&gt;#ref!",E6:E13)</f>
        <v>36780.86</v>
      </c>
      <c r="F2" s="2542"/>
      <c r="G2" s="2542"/>
      <c r="H2" s="2542"/>
      <c r="I2" s="2542"/>
      <c r="J2" s="2542"/>
      <c r="K2" s="2542"/>
      <c r="L2" s="2542"/>
      <c r="M2" s="2542"/>
      <c r="N2" s="2542"/>
      <c r="O2" s="2542"/>
      <c r="P2" s="2542"/>
    </row>
    <row r="3" spans="1:16" ht="15.6">
      <c r="A3" s="1982" t="s">
        <v>2074</v>
      </c>
      <c r="B3" s="2386">
        <f ca="1">ROUND(B2*10000/E2,0)</f>
        <v>1753</v>
      </c>
      <c r="C3" s="1982" t="s">
        <v>2080</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2075</v>
      </c>
      <c r="B5" s="2394" t="s">
        <v>2076</v>
      </c>
      <c r="C5" s="1983"/>
      <c r="D5" s="2542"/>
      <c r="E5" s="2395" t="s">
        <v>2077</v>
      </c>
      <c r="F5" s="2542"/>
      <c r="G5" s="2542"/>
      <c r="H5" s="2542"/>
      <c r="I5" s="2542"/>
      <c r="J5" s="2542"/>
      <c r="K5" s="2542"/>
      <c r="L5" s="2542"/>
      <c r="M5" s="2542"/>
      <c r="N5" s="2542"/>
      <c r="O5" s="2542"/>
      <c r="P5" s="2542"/>
    </row>
    <row r="6" spans="1:16" ht="15.6">
      <c r="A6" s="2393" t="s">
        <v>2078</v>
      </c>
      <c r="B6" s="2386">
        <f ca="1">SUMIF(INDIRECT("'"&amp;A6&amp;"'"&amp;"!A:A"),"总价",INDIRECT("'"&amp;A6&amp;"'"&amp;"!B:B"))</f>
        <v>6446</v>
      </c>
      <c r="C6" s="1982" t="s">
        <v>2072</v>
      </c>
      <c r="D6" s="2542"/>
      <c r="E6" s="2396">
        <f ca="1">SUMIF(INDIRECT("'"&amp;A6&amp;"'"&amp;"!C:C"),"建筑面积",INDIRECT("'"&amp;A6&amp;"'"&amp;"!D:D"))</f>
        <v>36780.86</v>
      </c>
      <c r="F6" s="2542"/>
      <c r="G6" s="2542"/>
      <c r="H6" s="2542"/>
      <c r="I6" s="2542"/>
      <c r="J6" s="2542"/>
      <c r="K6" s="2542"/>
      <c r="L6" s="2542"/>
      <c r="M6" s="2542"/>
      <c r="N6" s="2542"/>
      <c r="O6" s="2542"/>
      <c r="P6" s="2542"/>
    </row>
    <row r="7" spans="1:16" ht="15.6">
      <c r="A7" s="2393"/>
      <c r="B7" s="2386" t="e">
        <f ca="1">SUMIF(INDIRECT("'"&amp;A7&amp;"'"&amp;"!A:A"),"总价",INDIRECT("'"&amp;A7&amp;"'"&amp;"!B:B"))</f>
        <v>#REF!</v>
      </c>
      <c r="C7" s="1982" t="s">
        <v>2072</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2" t="s">
        <v>2072</v>
      </c>
      <c r="D8" s="2542"/>
      <c r="E8" s="2396" t="e">
        <f t="shared" ca="1" si="0"/>
        <v>#REF!</v>
      </c>
      <c r="F8" s="2542"/>
      <c r="G8" s="2542"/>
      <c r="H8" s="2542"/>
      <c r="I8" s="2542"/>
      <c r="J8" s="2542"/>
      <c r="K8" s="2542"/>
      <c r="L8" s="2542"/>
      <c r="M8" s="2542"/>
      <c r="N8" s="2542"/>
      <c r="O8" s="2542"/>
      <c r="P8" s="2542"/>
    </row>
    <row r="9" spans="1:16" ht="15.6">
      <c r="A9" s="2393"/>
      <c r="B9" s="2386" t="e">
        <f t="shared" ca="1" si="1"/>
        <v>#REF!</v>
      </c>
      <c r="C9" s="1982" t="s">
        <v>2072</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2" t="s">
        <v>2072</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2" t="s">
        <v>2072</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2" t="s">
        <v>2072</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2" t="s">
        <v>2072</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91" t="s">
        <v>2604</v>
      </c>
      <c r="B20" s="3486" t="s">
        <v>2625</v>
      </c>
      <c r="C20" s="2840" t="s">
        <v>2436</v>
      </c>
      <c r="D20" s="2841"/>
      <c r="E20" s="2842">
        <v>1</v>
      </c>
      <c r="F20" s="2843" t="s">
        <v>2437</v>
      </c>
      <c r="G20" s="2843"/>
    </row>
    <row r="21" spans="1:13" ht="19.5" customHeight="1">
      <c r="A21" s="3492"/>
      <c r="B21" s="3485"/>
      <c r="C21" s="2844" t="s">
        <v>2438</v>
      </c>
      <c r="D21" s="2845"/>
      <c r="E21" s="2846">
        <v>1</v>
      </c>
      <c r="F21" s="2843" t="s">
        <v>2439</v>
      </c>
      <c r="G21" s="2843"/>
    </row>
    <row r="22" spans="1:13" ht="19.5" customHeight="1">
      <c r="A22" s="3492"/>
      <c r="B22" s="3485"/>
      <c r="C22" s="2844" t="s">
        <v>2440</v>
      </c>
      <c r="D22" s="2845"/>
      <c r="E22" s="2846">
        <v>0.9</v>
      </c>
      <c r="F22" s="2843" t="s">
        <v>2441</v>
      </c>
      <c r="G22" s="2843"/>
    </row>
    <row r="23" spans="1:13" ht="19.5" customHeight="1">
      <c r="A23" s="3492"/>
      <c r="B23" s="3485"/>
      <c r="C23" s="2844" t="s">
        <v>2442</v>
      </c>
      <c r="D23" s="2845"/>
      <c r="E23" s="2846">
        <v>0.9</v>
      </c>
      <c r="F23" s="2843" t="s">
        <v>2443</v>
      </c>
      <c r="G23" s="2843"/>
    </row>
    <row r="24" spans="1:13" ht="19.5" customHeight="1">
      <c r="A24" s="3492"/>
      <c r="B24" s="3485"/>
      <c r="C24" s="2844" t="s">
        <v>2444</v>
      </c>
      <c r="D24" s="2845"/>
      <c r="E24" s="2846">
        <v>0.8</v>
      </c>
      <c r="F24" s="2843" t="s">
        <v>2445</v>
      </c>
      <c r="G24" s="2843"/>
    </row>
    <row r="25" spans="1:13" ht="19.5" customHeight="1" thickBot="1">
      <c r="A25" s="3493"/>
      <c r="B25" s="3487"/>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88" t="s">
        <v>2628</v>
      </c>
      <c r="B27" s="3486" t="s">
        <v>2609</v>
      </c>
      <c r="C27" s="2840" t="s">
        <v>2449</v>
      </c>
      <c r="D27" s="2841"/>
      <c r="E27" s="2842">
        <v>1</v>
      </c>
      <c r="F27" s="2843" t="s">
        <v>2450</v>
      </c>
      <c r="G27" s="2843"/>
    </row>
    <row r="28" spans="1:13" ht="19.5" customHeight="1">
      <c r="A28" s="3489"/>
      <c r="B28" s="3485"/>
      <c r="C28" s="2844" t="s">
        <v>2451</v>
      </c>
      <c r="D28" s="2845"/>
      <c r="E28" s="2846">
        <v>1</v>
      </c>
      <c r="F28" s="2843" t="s">
        <v>2452</v>
      </c>
      <c r="G28" s="2843"/>
    </row>
    <row r="29" spans="1:13" ht="19.5" customHeight="1">
      <c r="A29" s="3489"/>
      <c r="B29" s="3485"/>
      <c r="C29" s="2844" t="s">
        <v>2453</v>
      </c>
      <c r="D29" s="2845"/>
      <c r="E29" s="2846">
        <v>0.8</v>
      </c>
      <c r="F29" s="2843" t="s">
        <v>2454</v>
      </c>
      <c r="G29" s="2843"/>
    </row>
    <row r="30" spans="1:13" ht="19.5" customHeight="1">
      <c r="A30" s="3489"/>
      <c r="B30" s="3485"/>
      <c r="C30" s="2844" t="s">
        <v>2455</v>
      </c>
      <c r="D30" s="2845"/>
      <c r="E30" s="2846">
        <v>0.8</v>
      </c>
      <c r="F30" s="2843" t="s">
        <v>2456</v>
      </c>
      <c r="G30" s="2843"/>
    </row>
    <row r="31" spans="1:13" ht="19.5" customHeight="1">
      <c r="A31" s="3489"/>
      <c r="B31" s="3485"/>
      <c r="C31" s="2844" t="s">
        <v>2457</v>
      </c>
      <c r="D31" s="2845"/>
      <c r="E31" s="2846">
        <v>0.8</v>
      </c>
      <c r="F31" s="2843" t="s">
        <v>2458</v>
      </c>
      <c r="G31" s="2843"/>
    </row>
    <row r="32" spans="1:13" ht="19.5" customHeight="1">
      <c r="A32" s="3489"/>
      <c r="B32" s="3485"/>
      <c r="C32" s="2844" t="s">
        <v>2459</v>
      </c>
      <c r="D32" s="2845"/>
      <c r="E32" s="2846">
        <v>0.7</v>
      </c>
      <c r="F32" s="2843" t="s">
        <v>2460</v>
      </c>
      <c r="G32" s="2843"/>
    </row>
    <row r="33" spans="1:7" ht="19.5" customHeight="1">
      <c r="A33" s="3489"/>
      <c r="B33" s="3485"/>
      <c r="C33" s="2844" t="s">
        <v>2461</v>
      </c>
      <c r="D33" s="2845"/>
      <c r="E33" s="2846">
        <v>0.8</v>
      </c>
      <c r="F33" s="2843" t="s">
        <v>2462</v>
      </c>
      <c r="G33" s="2843"/>
    </row>
    <row r="34" spans="1:7" ht="19.5" customHeight="1">
      <c r="A34" s="3489"/>
      <c r="B34" s="3485"/>
      <c r="C34" s="2844" t="s">
        <v>2463</v>
      </c>
      <c r="D34" s="2845"/>
      <c r="E34" s="2846">
        <v>0.6</v>
      </c>
      <c r="F34" s="2843" t="s">
        <v>2464</v>
      </c>
      <c r="G34" s="2843"/>
    </row>
    <row r="35" spans="1:7" ht="19.5" customHeight="1">
      <c r="A35" s="3489"/>
      <c r="B35" s="3485"/>
      <c r="C35" s="2844" t="s">
        <v>2465</v>
      </c>
      <c r="D35" s="2845"/>
      <c r="E35" s="2846">
        <v>0.2</v>
      </c>
      <c r="F35" s="2843" t="s">
        <v>2466</v>
      </c>
      <c r="G35" s="2843"/>
    </row>
    <row r="36" spans="1:7" ht="19.5" customHeight="1">
      <c r="A36" s="3489"/>
      <c r="B36" s="3485"/>
      <c r="C36" s="2844" t="s">
        <v>2467</v>
      </c>
      <c r="D36" s="2845"/>
      <c r="E36" s="2846">
        <v>0.2</v>
      </c>
      <c r="F36" s="2843" t="s">
        <v>2468</v>
      </c>
      <c r="G36" s="2843"/>
    </row>
    <row r="37" spans="1:7" ht="19.5" customHeight="1">
      <c r="A37" s="3489"/>
      <c r="B37" s="3483" t="s">
        <v>2629</v>
      </c>
      <c r="C37" s="2844" t="s">
        <v>2469</v>
      </c>
      <c r="D37" s="2845"/>
      <c r="E37" s="2846">
        <v>0.6</v>
      </c>
      <c r="F37" s="2843" t="s">
        <v>2470</v>
      </c>
      <c r="G37" s="2843"/>
    </row>
    <row r="38" spans="1:7" ht="19.5" customHeight="1">
      <c r="A38" s="3489"/>
      <c r="B38" s="3485"/>
      <c r="C38" s="2844" t="s">
        <v>2471</v>
      </c>
      <c r="D38" s="2845"/>
      <c r="E38" s="2846">
        <v>0.6</v>
      </c>
      <c r="F38" s="2843" t="s">
        <v>2472</v>
      </c>
      <c r="G38" s="2843"/>
    </row>
    <row r="39" spans="1:7" ht="19.5" customHeight="1" thickBot="1">
      <c r="A39" s="3490"/>
      <c r="B39" s="3487"/>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491" t="s">
        <v>2607</v>
      </c>
      <c r="B41" s="3486" t="s">
        <v>2631</v>
      </c>
      <c r="C41" s="2840" t="s">
        <v>2476</v>
      </c>
      <c r="D41" s="2841"/>
      <c r="E41" s="2842">
        <v>1</v>
      </c>
      <c r="F41" s="2843" t="s">
        <v>2477</v>
      </c>
      <c r="G41" s="2843"/>
    </row>
    <row r="42" spans="1:7" ht="19.5" customHeight="1">
      <c r="A42" s="3492"/>
      <c r="B42" s="3485"/>
      <c r="C42" s="2844" t="s">
        <v>2478</v>
      </c>
      <c r="D42" s="2845"/>
      <c r="E42" s="2846">
        <v>1</v>
      </c>
      <c r="F42" s="2843" t="s">
        <v>2479</v>
      </c>
      <c r="G42" s="2843"/>
    </row>
    <row r="43" spans="1:7" ht="19.5" customHeight="1">
      <c r="A43" s="3492"/>
      <c r="B43" s="3484"/>
      <c r="C43" s="2844" t="s">
        <v>2480</v>
      </c>
      <c r="D43" s="2845"/>
      <c r="E43" s="2846">
        <v>1.5</v>
      </c>
      <c r="F43" s="2843" t="s">
        <v>2481</v>
      </c>
      <c r="G43" s="2843"/>
    </row>
    <row r="44" spans="1:7" ht="19.5" customHeight="1">
      <c r="A44" s="3492"/>
      <c r="B44" s="2855" t="s">
        <v>2632</v>
      </c>
      <c r="C44" s="2844" t="s">
        <v>2633</v>
      </c>
      <c r="D44" s="2845"/>
      <c r="E44" s="2846">
        <v>2</v>
      </c>
      <c r="F44" s="2843" t="s">
        <v>2482</v>
      </c>
      <c r="G44" s="2843"/>
    </row>
    <row r="45" spans="1:7" ht="19.5" customHeight="1">
      <c r="A45" s="3492"/>
      <c r="B45" s="3483" t="s">
        <v>2634</v>
      </c>
      <c r="C45" s="2844" t="s">
        <v>2483</v>
      </c>
      <c r="D45" s="2845"/>
      <c r="E45" s="2846">
        <v>1</v>
      </c>
      <c r="F45" s="2843" t="s">
        <v>2484</v>
      </c>
      <c r="G45" s="2843"/>
    </row>
    <row r="46" spans="1:7" ht="19.5" customHeight="1">
      <c r="A46" s="3492"/>
      <c r="B46" s="3485"/>
      <c r="C46" s="2844" t="s">
        <v>2485</v>
      </c>
      <c r="D46" s="2845"/>
      <c r="E46" s="2846">
        <v>1</v>
      </c>
      <c r="F46" s="2843" t="s">
        <v>2486</v>
      </c>
      <c r="G46" s="2843"/>
    </row>
    <row r="47" spans="1:7" ht="19.5" customHeight="1">
      <c r="A47" s="3492"/>
      <c r="B47" s="3485"/>
      <c r="C47" s="2844" t="s">
        <v>2487</v>
      </c>
      <c r="D47" s="2845"/>
      <c r="E47" s="2846">
        <v>1</v>
      </c>
      <c r="F47" s="2843" t="s">
        <v>2488</v>
      </c>
      <c r="G47" s="2843"/>
    </row>
    <row r="48" spans="1:7" ht="19.5" customHeight="1">
      <c r="A48" s="3492"/>
      <c r="B48" s="3485"/>
      <c r="C48" s="2844" t="s">
        <v>2489</v>
      </c>
      <c r="D48" s="2845"/>
      <c r="E48" s="2846">
        <v>1</v>
      </c>
      <c r="F48" s="2843" t="s">
        <v>2490</v>
      </c>
      <c r="G48" s="2843"/>
    </row>
    <row r="49" spans="1:7" ht="19.5" customHeight="1">
      <c r="A49" s="3492"/>
      <c r="B49" s="3485"/>
      <c r="C49" s="2844" t="s">
        <v>2491</v>
      </c>
      <c r="D49" s="2845"/>
      <c r="E49" s="2846">
        <v>1</v>
      </c>
      <c r="F49" s="2843" t="s">
        <v>2492</v>
      </c>
      <c r="G49" s="2843"/>
    </row>
    <row r="50" spans="1:7" ht="19.5" customHeight="1">
      <c r="A50" s="3492"/>
      <c r="B50" s="3485"/>
      <c r="C50" s="2844" t="s">
        <v>2493</v>
      </c>
      <c r="D50" s="2845"/>
      <c r="E50" s="2846">
        <v>1</v>
      </c>
      <c r="F50" s="2843" t="s">
        <v>2494</v>
      </c>
      <c r="G50" s="2843"/>
    </row>
    <row r="51" spans="1:7" ht="19.5" customHeight="1" thickBot="1">
      <c r="A51" s="3493"/>
      <c r="B51" s="3487"/>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4.4">
      <c r="A72" s="2855"/>
      <c r="B72" s="2855"/>
      <c r="C72" s="2855" t="s">
        <v>2647</v>
      </c>
      <c r="D72" s="2855"/>
      <c r="E72" s="2855" t="s">
        <v>2618</v>
      </c>
      <c r="F72" s="2855" t="s">
        <v>2618</v>
      </c>
    </row>
    <row r="73" spans="1:7" ht="14.4">
      <c r="A73" s="2855">
        <v>1</v>
      </c>
      <c r="B73" s="3483" t="s">
        <v>2648</v>
      </c>
      <c r="C73" s="2829" t="s">
        <v>2649</v>
      </c>
      <c r="D73" s="2829" t="s">
        <v>2650</v>
      </c>
      <c r="E73" s="2855">
        <v>0.2</v>
      </c>
      <c r="F73" s="2855">
        <v>25</v>
      </c>
    </row>
    <row r="74" spans="1:7" ht="24">
      <c r="A74" s="2855">
        <v>2</v>
      </c>
      <c r="B74" s="3485"/>
      <c r="C74" s="2829" t="s">
        <v>2651</v>
      </c>
      <c r="D74" s="2829" t="s">
        <v>2652</v>
      </c>
      <c r="E74" s="2855">
        <v>0.2</v>
      </c>
      <c r="F74" s="2855">
        <v>25</v>
      </c>
    </row>
    <row r="75" spans="1:7" ht="24">
      <c r="A75" s="2855">
        <v>3</v>
      </c>
      <c r="B75" s="3485"/>
      <c r="C75" s="2829" t="s">
        <v>2653</v>
      </c>
      <c r="D75" s="2829" t="s">
        <v>2654</v>
      </c>
      <c r="E75" s="2855">
        <v>0.2</v>
      </c>
      <c r="F75" s="2855">
        <v>25</v>
      </c>
    </row>
    <row r="76" spans="1:7" ht="14.4">
      <c r="A76" s="2855">
        <v>4</v>
      </c>
      <c r="B76" s="3485"/>
      <c r="C76" s="2829" t="s">
        <v>2655</v>
      </c>
      <c r="D76" s="2829" t="s">
        <v>2656</v>
      </c>
      <c r="E76" s="2855">
        <v>0.15</v>
      </c>
      <c r="F76" s="2855">
        <v>20</v>
      </c>
    </row>
    <row r="77" spans="1:7" ht="24">
      <c r="A77" s="2855">
        <v>5</v>
      </c>
      <c r="B77" s="3485"/>
      <c r="C77" s="2829" t="s">
        <v>2657</v>
      </c>
      <c r="D77" s="2829" t="s">
        <v>2658</v>
      </c>
      <c r="E77" s="2855">
        <v>0.15</v>
      </c>
      <c r="F77" s="2855">
        <v>20</v>
      </c>
    </row>
    <row r="78" spans="1:7" ht="24">
      <c r="A78" s="2855">
        <v>6</v>
      </c>
      <c r="B78" s="3485"/>
      <c r="C78" s="2829" t="s">
        <v>2659</v>
      </c>
      <c r="D78" s="2829" t="s">
        <v>2660</v>
      </c>
      <c r="E78" s="2855">
        <v>0.15</v>
      </c>
      <c r="F78" s="2855">
        <v>20</v>
      </c>
    </row>
    <row r="79" spans="1:7" ht="24">
      <c r="A79" s="2855">
        <v>7</v>
      </c>
      <c r="B79" s="3485"/>
      <c r="C79" s="2829" t="s">
        <v>2661</v>
      </c>
      <c r="D79" s="2829" t="s">
        <v>2662</v>
      </c>
      <c r="E79" s="2855">
        <v>0.15</v>
      </c>
      <c r="F79" s="2855">
        <v>20</v>
      </c>
    </row>
    <row r="80" spans="1:7" ht="24">
      <c r="A80" s="2855">
        <v>8</v>
      </c>
      <c r="B80" s="3485"/>
      <c r="C80" s="2829" t="s">
        <v>2663</v>
      </c>
      <c r="D80" s="2829" t="s">
        <v>2664</v>
      </c>
      <c r="E80" s="2855">
        <v>0.1</v>
      </c>
      <c r="F80" s="2855">
        <v>15</v>
      </c>
    </row>
    <row r="81" spans="1:6" ht="24">
      <c r="A81" s="2855">
        <v>9</v>
      </c>
      <c r="B81" s="3485"/>
      <c r="C81" s="2829" t="s">
        <v>2665</v>
      </c>
      <c r="D81" s="2829" t="s">
        <v>2666</v>
      </c>
      <c r="E81" s="2855">
        <v>0.1</v>
      </c>
      <c r="F81" s="2855">
        <v>15</v>
      </c>
    </row>
    <row r="82" spans="1:6" ht="24">
      <c r="A82" s="2855">
        <v>10</v>
      </c>
      <c r="B82" s="3485"/>
      <c r="C82" s="2829" t="s">
        <v>2667</v>
      </c>
      <c r="D82" s="2829" t="s">
        <v>2668</v>
      </c>
      <c r="E82" s="2855">
        <v>0.1</v>
      </c>
      <c r="F82" s="2855">
        <v>15</v>
      </c>
    </row>
    <row r="83" spans="1:6" ht="24">
      <c r="A83" s="2855">
        <v>11</v>
      </c>
      <c r="B83" s="3485"/>
      <c r="C83" s="2829" t="s">
        <v>2669</v>
      </c>
      <c r="D83" s="2829" t="s">
        <v>2670</v>
      </c>
      <c r="E83" s="2855">
        <v>0.1</v>
      </c>
      <c r="F83" s="2855">
        <v>15</v>
      </c>
    </row>
    <row r="84" spans="1:6" ht="24">
      <c r="A84" s="2855">
        <v>12</v>
      </c>
      <c r="B84" s="3485"/>
      <c r="C84" s="2829" t="s">
        <v>2671</v>
      </c>
      <c r="D84" s="2829" t="s">
        <v>2672</v>
      </c>
      <c r="E84" s="2855">
        <v>0.1</v>
      </c>
      <c r="F84" s="2855">
        <v>15</v>
      </c>
    </row>
    <row r="85" spans="1:6" ht="24">
      <c r="A85" s="2855">
        <v>13</v>
      </c>
      <c r="B85" s="3485"/>
      <c r="C85" s="2829" t="s">
        <v>2673</v>
      </c>
      <c r="D85" s="2829" t="s">
        <v>2674</v>
      </c>
      <c r="E85" s="2855">
        <v>0.1</v>
      </c>
      <c r="F85" s="2855">
        <v>15</v>
      </c>
    </row>
    <row r="86" spans="1:6" ht="24">
      <c r="A86" s="2855">
        <v>14</v>
      </c>
      <c r="B86" s="3485"/>
      <c r="C86" s="2829" t="s">
        <v>2675</v>
      </c>
      <c r="D86" s="2829" t="s">
        <v>2676</v>
      </c>
      <c r="E86" s="2855">
        <v>0.1</v>
      </c>
      <c r="F86" s="2855">
        <v>15</v>
      </c>
    </row>
    <row r="87" spans="1:6" ht="24">
      <c r="A87" s="2855">
        <v>15</v>
      </c>
      <c r="B87" s="3485"/>
      <c r="C87" s="2829" t="s">
        <v>2677</v>
      </c>
      <c r="D87" s="2829" t="s">
        <v>2678</v>
      </c>
      <c r="E87" s="2855">
        <v>0.1</v>
      </c>
      <c r="F87" s="2855">
        <v>15</v>
      </c>
    </row>
    <row r="88" spans="1:6" ht="24">
      <c r="A88" s="2855">
        <v>16</v>
      </c>
      <c r="B88" s="3485"/>
      <c r="C88" s="2829" t="s">
        <v>2679</v>
      </c>
      <c r="D88" s="2829" t="s">
        <v>2680</v>
      </c>
      <c r="E88" s="2855">
        <v>0.1</v>
      </c>
      <c r="F88" s="2855">
        <v>15</v>
      </c>
    </row>
    <row r="89" spans="1:6" ht="24">
      <c r="A89" s="2855">
        <v>17</v>
      </c>
      <c r="B89" s="3484"/>
      <c r="C89" s="2829" t="s">
        <v>2681</v>
      </c>
      <c r="D89" s="2829" t="s">
        <v>2682</v>
      </c>
      <c r="E89" s="2855">
        <v>0.1</v>
      </c>
      <c r="F89" s="2855">
        <v>15</v>
      </c>
    </row>
    <row r="90" spans="1:6" ht="14.4">
      <c r="A90" s="2855">
        <v>18</v>
      </c>
      <c r="B90" s="3483" t="s">
        <v>2683</v>
      </c>
      <c r="C90" s="2829" t="s">
        <v>2684</v>
      </c>
      <c r="D90" s="2829" t="s">
        <v>2685</v>
      </c>
      <c r="E90" s="2855">
        <v>0.2</v>
      </c>
      <c r="F90" s="2855">
        <v>25</v>
      </c>
    </row>
    <row r="91" spans="1:6" ht="24">
      <c r="A91" s="2855">
        <v>19</v>
      </c>
      <c r="B91" s="3485"/>
      <c r="C91" s="2829" t="s">
        <v>2686</v>
      </c>
      <c r="D91" s="2829" t="s">
        <v>2687</v>
      </c>
      <c r="E91" s="2855">
        <v>0.2</v>
      </c>
      <c r="F91" s="2855">
        <v>25</v>
      </c>
    </row>
    <row r="92" spans="1:6" ht="14.4">
      <c r="A92" s="2855">
        <v>20</v>
      </c>
      <c r="B92" s="3485"/>
      <c r="C92" s="2829" t="s">
        <v>2688</v>
      </c>
      <c r="D92" s="2829" t="s">
        <v>2689</v>
      </c>
      <c r="E92" s="2855">
        <v>0.15</v>
      </c>
      <c r="F92" s="2855">
        <v>20</v>
      </c>
    </row>
    <row r="93" spans="1:6" ht="24">
      <c r="A93" s="2855">
        <v>21</v>
      </c>
      <c r="B93" s="3485"/>
      <c r="C93" s="2829" t="s">
        <v>2690</v>
      </c>
      <c r="D93" s="2829" t="s">
        <v>2691</v>
      </c>
      <c r="E93" s="2855">
        <v>0.15</v>
      </c>
      <c r="F93" s="2855">
        <v>20</v>
      </c>
    </row>
    <row r="94" spans="1:6" ht="24">
      <c r="A94" s="2855">
        <v>22</v>
      </c>
      <c r="B94" s="3485"/>
      <c r="C94" s="2829" t="s">
        <v>2692</v>
      </c>
      <c r="D94" s="2829" t="s">
        <v>2693</v>
      </c>
      <c r="E94" s="2855">
        <v>0.15</v>
      </c>
      <c r="F94" s="2855">
        <v>20</v>
      </c>
    </row>
    <row r="95" spans="1:6" ht="36">
      <c r="A95" s="2855">
        <v>23</v>
      </c>
      <c r="B95" s="3485"/>
      <c r="C95" s="2829" t="s">
        <v>2694</v>
      </c>
      <c r="D95" s="2829" t="s">
        <v>2695</v>
      </c>
      <c r="E95" s="2855">
        <v>0.15</v>
      </c>
      <c r="F95" s="2855">
        <v>20</v>
      </c>
    </row>
    <row r="96" spans="1:6" ht="24">
      <c r="A96" s="2855">
        <v>24</v>
      </c>
      <c r="B96" s="3485"/>
      <c r="C96" s="2829" t="s">
        <v>2696</v>
      </c>
      <c r="D96" s="2829" t="s">
        <v>2697</v>
      </c>
      <c r="E96" s="2855">
        <v>0.1</v>
      </c>
      <c r="F96" s="2855">
        <v>15</v>
      </c>
    </row>
    <row r="97" spans="1:6" ht="24">
      <c r="A97" s="2855">
        <v>25</v>
      </c>
      <c r="B97" s="3485"/>
      <c r="C97" s="2829" t="s">
        <v>2698</v>
      </c>
      <c r="D97" s="2829" t="s">
        <v>2699</v>
      </c>
      <c r="E97" s="2855">
        <v>0.1</v>
      </c>
      <c r="F97" s="2855">
        <v>15</v>
      </c>
    </row>
    <row r="98" spans="1:6" ht="24">
      <c r="A98" s="2855">
        <v>26</v>
      </c>
      <c r="B98" s="3485"/>
      <c r="C98" s="2829" t="s">
        <v>2700</v>
      </c>
      <c r="D98" s="2829" t="s">
        <v>2701</v>
      </c>
      <c r="E98" s="2855">
        <v>0.1</v>
      </c>
      <c r="F98" s="2855">
        <v>15</v>
      </c>
    </row>
    <row r="99" spans="1:6" ht="24">
      <c r="A99" s="2855">
        <v>27</v>
      </c>
      <c r="B99" s="3485"/>
      <c r="C99" s="2829" t="s">
        <v>2702</v>
      </c>
      <c r="D99" s="2829" t="s">
        <v>2703</v>
      </c>
      <c r="E99" s="2855">
        <v>0.1</v>
      </c>
      <c r="F99" s="2855">
        <v>15</v>
      </c>
    </row>
    <row r="100" spans="1:6" ht="24">
      <c r="A100" s="2855">
        <v>28</v>
      </c>
      <c r="B100" s="3485"/>
      <c r="C100" s="2829" t="s">
        <v>2704</v>
      </c>
      <c r="D100" s="2829" t="s">
        <v>2705</v>
      </c>
      <c r="E100" s="2855">
        <v>0.1</v>
      </c>
      <c r="F100" s="2855">
        <v>15</v>
      </c>
    </row>
    <row r="101" spans="1:6" ht="24">
      <c r="A101" s="2855">
        <v>29</v>
      </c>
      <c r="B101" s="3485"/>
      <c r="C101" s="2829" t="s">
        <v>2706</v>
      </c>
      <c r="D101" s="2829" t="s">
        <v>2707</v>
      </c>
      <c r="E101" s="2855">
        <v>0.1</v>
      </c>
      <c r="F101" s="2855">
        <v>15</v>
      </c>
    </row>
    <row r="102" spans="1:6" ht="24">
      <c r="A102" s="2855">
        <v>30</v>
      </c>
      <c r="B102" s="3485"/>
      <c r="C102" s="2829" t="s">
        <v>2708</v>
      </c>
      <c r="D102" s="2829" t="s">
        <v>2709</v>
      </c>
      <c r="E102" s="2855">
        <v>0.1</v>
      </c>
      <c r="F102" s="2855">
        <v>15</v>
      </c>
    </row>
    <row r="103" spans="1:6" ht="24">
      <c r="A103" s="2855">
        <v>31</v>
      </c>
      <c r="B103" s="3485"/>
      <c r="C103" s="2829" t="s">
        <v>2710</v>
      </c>
      <c r="D103" s="2829" t="s">
        <v>2711</v>
      </c>
      <c r="E103" s="2855">
        <v>0.1</v>
      </c>
      <c r="F103" s="2855">
        <v>15</v>
      </c>
    </row>
    <row r="104" spans="1:6" ht="24">
      <c r="A104" s="2855">
        <v>32</v>
      </c>
      <c r="B104" s="3485"/>
      <c r="C104" s="2829" t="s">
        <v>2712</v>
      </c>
      <c r="D104" s="2829" t="s">
        <v>2713</v>
      </c>
      <c r="E104" s="2855">
        <v>0.1</v>
      </c>
      <c r="F104" s="2855">
        <v>15</v>
      </c>
    </row>
    <row r="105" spans="1:6" ht="24">
      <c r="A105" s="2855">
        <v>33</v>
      </c>
      <c r="B105" s="3485"/>
      <c r="C105" s="2829" t="s">
        <v>2714</v>
      </c>
      <c r="D105" s="2829" t="s">
        <v>2715</v>
      </c>
      <c r="E105" s="2855">
        <v>0.1</v>
      </c>
      <c r="F105" s="2855">
        <v>15</v>
      </c>
    </row>
    <row r="106" spans="1:6" ht="24">
      <c r="A106" s="2855">
        <v>34</v>
      </c>
      <c r="B106" s="3484"/>
      <c r="C106" s="2829" t="s">
        <v>2716</v>
      </c>
      <c r="D106" s="2829" t="s">
        <v>2717</v>
      </c>
      <c r="E106" s="2855">
        <v>0.1</v>
      </c>
      <c r="F106" s="2855">
        <v>15</v>
      </c>
    </row>
    <row r="107" spans="1:6" ht="36">
      <c r="A107" s="2855">
        <v>35</v>
      </c>
      <c r="B107" s="3483" t="s">
        <v>2718</v>
      </c>
      <c r="C107" s="2855" t="s">
        <v>2719</v>
      </c>
      <c r="D107" s="2829" t="s">
        <v>2720</v>
      </c>
      <c r="E107" s="2855">
        <v>0.15</v>
      </c>
      <c r="F107" s="2855">
        <v>20</v>
      </c>
    </row>
    <row r="108" spans="1:6" ht="24">
      <c r="A108" s="2855">
        <v>36</v>
      </c>
      <c r="B108" s="3485"/>
      <c r="C108" s="2855" t="s">
        <v>2721</v>
      </c>
      <c r="D108" s="2829" t="s">
        <v>2722</v>
      </c>
      <c r="E108" s="2855">
        <v>0.15</v>
      </c>
      <c r="F108" s="2855">
        <v>20</v>
      </c>
    </row>
    <row r="109" spans="1:6" ht="24">
      <c r="A109" s="2855">
        <v>37</v>
      </c>
      <c r="B109" s="3485"/>
      <c r="C109" s="2855" t="s">
        <v>2723</v>
      </c>
      <c r="D109" s="2829" t="s">
        <v>2724</v>
      </c>
      <c r="E109" s="2855">
        <v>0.15</v>
      </c>
      <c r="F109" s="2855">
        <v>20</v>
      </c>
    </row>
    <row r="110" spans="1:6" ht="24">
      <c r="A110" s="2855">
        <v>38</v>
      </c>
      <c r="B110" s="3485"/>
      <c r="C110" s="2855" t="s">
        <v>2725</v>
      </c>
      <c r="D110" s="2829" t="s">
        <v>2726</v>
      </c>
      <c r="E110" s="2855">
        <v>0.1</v>
      </c>
      <c r="F110" s="2855">
        <v>15</v>
      </c>
    </row>
    <row r="111" spans="1:6" ht="24">
      <c r="A111" s="2855">
        <v>39</v>
      </c>
      <c r="B111" s="3485"/>
      <c r="C111" s="2855" t="s">
        <v>2727</v>
      </c>
      <c r="D111" s="2829" t="s">
        <v>2728</v>
      </c>
      <c r="E111" s="2855">
        <v>0.1</v>
      </c>
      <c r="F111" s="2855">
        <v>15</v>
      </c>
    </row>
    <row r="112" spans="1:6" ht="24">
      <c r="A112" s="2855">
        <v>40</v>
      </c>
      <c r="B112" s="3484"/>
      <c r="C112" s="2855" t="s">
        <v>2729</v>
      </c>
      <c r="D112" s="2829" t="s">
        <v>2730</v>
      </c>
      <c r="E112" s="2855">
        <v>0.1</v>
      </c>
      <c r="F112" s="2855">
        <v>15</v>
      </c>
    </row>
    <row r="113" spans="1:6" ht="24">
      <c r="A113" s="2855">
        <v>41</v>
      </c>
      <c r="B113" s="3482" t="s">
        <v>2731</v>
      </c>
      <c r="C113" s="2855" t="s">
        <v>2732</v>
      </c>
      <c r="D113" s="2829" t="s">
        <v>2733</v>
      </c>
      <c r="E113" s="2855">
        <v>0.1</v>
      </c>
      <c r="F113" s="2855">
        <v>15</v>
      </c>
    </row>
    <row r="114" spans="1:6" ht="24">
      <c r="A114" s="2855">
        <v>42</v>
      </c>
      <c r="B114" s="3482"/>
      <c r="C114" s="2855" t="s">
        <v>2734</v>
      </c>
      <c r="D114" s="2829" t="s">
        <v>2735</v>
      </c>
      <c r="E114" s="2855">
        <v>0.1</v>
      </c>
      <c r="F114" s="2855">
        <v>15</v>
      </c>
    </row>
    <row r="115" spans="1:6" ht="24">
      <c r="A115" s="2855">
        <v>43</v>
      </c>
      <c r="B115" s="3482"/>
      <c r="C115" s="2855" t="s">
        <v>2736</v>
      </c>
      <c r="D115" s="2829" t="s">
        <v>2737</v>
      </c>
      <c r="E115" s="2855">
        <v>0.1</v>
      </c>
      <c r="F115" s="2855">
        <v>15</v>
      </c>
    </row>
    <row r="116" spans="1:6" ht="24">
      <c r="A116" s="2855">
        <v>44</v>
      </c>
      <c r="B116" s="3483" t="s">
        <v>2738</v>
      </c>
      <c r="C116" s="2855" t="s">
        <v>2739</v>
      </c>
      <c r="D116" s="2829" t="s">
        <v>2740</v>
      </c>
      <c r="E116" s="2855">
        <v>0.1</v>
      </c>
      <c r="F116" s="2855">
        <v>15</v>
      </c>
    </row>
    <row r="117" spans="1:6" ht="24">
      <c r="A117" s="2855">
        <v>45</v>
      </c>
      <c r="B117" s="3484"/>
      <c r="C117" s="2829" t="s">
        <v>2741</v>
      </c>
      <c r="D117" s="2829" t="s">
        <v>2742</v>
      </c>
      <c r="E117" s="2855">
        <v>0.1</v>
      </c>
      <c r="F117" s="2855">
        <v>15</v>
      </c>
    </row>
    <row r="118" spans="1:6" ht="24">
      <c r="A118" s="2855">
        <v>46</v>
      </c>
      <c r="B118" s="3483" t="s">
        <v>2743</v>
      </c>
      <c r="C118" s="2855" t="s">
        <v>2744</v>
      </c>
      <c r="D118" s="2829" t="s">
        <v>2745</v>
      </c>
      <c r="E118" s="2855">
        <v>0.1</v>
      </c>
      <c r="F118" s="2855">
        <v>15</v>
      </c>
    </row>
    <row r="119" spans="1:6" ht="24">
      <c r="A119" s="2855">
        <v>47</v>
      </c>
      <c r="B119" s="3484"/>
      <c r="C119" s="2855" t="s">
        <v>2746</v>
      </c>
      <c r="D119" s="2829" t="s">
        <v>2747</v>
      </c>
      <c r="E119" s="2855">
        <v>0.1</v>
      </c>
      <c r="F119" s="2855">
        <v>15</v>
      </c>
    </row>
    <row r="120" spans="1:6" ht="24">
      <c r="A120" s="2855">
        <v>48</v>
      </c>
      <c r="B120" s="3483" t="s">
        <v>2748</v>
      </c>
      <c r="C120" s="2855" t="s">
        <v>2749</v>
      </c>
      <c r="D120" s="2829" t="s">
        <v>2750</v>
      </c>
      <c r="E120" s="2855">
        <v>0.1</v>
      </c>
      <c r="F120" s="2855">
        <v>15</v>
      </c>
    </row>
    <row r="121" spans="1:6" ht="24">
      <c r="A121" s="2855">
        <v>49</v>
      </c>
      <c r="B121" s="3484"/>
      <c r="C121" s="2855" t="s">
        <v>2751</v>
      </c>
      <c r="D121" s="2829" t="s">
        <v>2752</v>
      </c>
      <c r="E121" s="2855">
        <v>0.1</v>
      </c>
      <c r="F121" s="2855">
        <v>15</v>
      </c>
    </row>
    <row r="122" spans="1:6" ht="24">
      <c r="A122" s="2855">
        <v>50</v>
      </c>
      <c r="B122" s="3482" t="s">
        <v>2753</v>
      </c>
      <c r="C122" s="2855" t="s">
        <v>2754</v>
      </c>
      <c r="D122" s="2829" t="s">
        <v>2755</v>
      </c>
      <c r="E122" s="2855">
        <v>0.1</v>
      </c>
      <c r="F122" s="2855">
        <v>15</v>
      </c>
    </row>
    <row r="123" spans="1:6" ht="24">
      <c r="A123" s="2855">
        <v>51</v>
      </c>
      <c r="B123" s="3482"/>
      <c r="C123" s="2855" t="s">
        <v>2756</v>
      </c>
      <c r="D123" s="2829" t="s">
        <v>2757</v>
      </c>
      <c r="E123" s="2855">
        <v>0.1</v>
      </c>
      <c r="F123" s="2855">
        <v>15</v>
      </c>
    </row>
    <row r="124" spans="1:6" ht="24">
      <c r="A124" s="2855">
        <v>52</v>
      </c>
      <c r="B124" s="3482" t="s">
        <v>2758</v>
      </c>
      <c r="C124" s="2855" t="s">
        <v>2759</v>
      </c>
      <c r="D124" s="2829" t="s">
        <v>2760</v>
      </c>
      <c r="E124" s="2855">
        <v>0.1</v>
      </c>
      <c r="F124" s="2855">
        <v>15</v>
      </c>
    </row>
    <row r="125" spans="1:6" ht="24">
      <c r="A125" s="2855">
        <v>53</v>
      </c>
      <c r="B125" s="3482"/>
      <c r="C125" s="2855" t="s">
        <v>2761</v>
      </c>
      <c r="D125" s="2829" t="s">
        <v>2762</v>
      </c>
      <c r="E125" s="2855">
        <v>0.1</v>
      </c>
      <c r="F125" s="2855">
        <v>15</v>
      </c>
    </row>
    <row r="126" spans="1:6" ht="24">
      <c r="A126" s="2855">
        <v>54</v>
      </c>
      <c r="B126" s="2855" t="s">
        <v>2763</v>
      </c>
      <c r="C126" s="2855" t="s">
        <v>2764</v>
      </c>
      <c r="D126" s="2829" t="s">
        <v>2765</v>
      </c>
      <c r="E126" s="2855">
        <v>0.1</v>
      </c>
      <c r="F126" s="2855">
        <v>15</v>
      </c>
    </row>
    <row r="127" spans="1:6" ht="24">
      <c r="A127" s="2855">
        <v>55</v>
      </c>
      <c r="B127" s="3482" t="s">
        <v>2766</v>
      </c>
      <c r="C127" s="2855" t="s">
        <v>2767</v>
      </c>
      <c r="D127" s="2829" t="s">
        <v>2768</v>
      </c>
      <c r="E127" s="2855">
        <v>0.1</v>
      </c>
      <c r="F127" s="2855">
        <v>15</v>
      </c>
    </row>
    <row r="128" spans="1:6" ht="24">
      <c r="A128" s="2855">
        <v>56</v>
      </c>
      <c r="B128" s="3482"/>
      <c r="C128" s="2855" t="s">
        <v>2769</v>
      </c>
      <c r="D128" s="2829" t="s">
        <v>2770</v>
      </c>
      <c r="E128" s="2855">
        <v>0.1</v>
      </c>
      <c r="F128" s="2855">
        <v>15</v>
      </c>
    </row>
    <row r="129" spans="1:6" ht="24">
      <c r="A129" s="2855">
        <v>57</v>
      </c>
      <c r="B129" s="3482"/>
      <c r="C129" s="2855" t="s">
        <v>2771</v>
      </c>
      <c r="D129" s="2829" t="s">
        <v>2772</v>
      </c>
      <c r="E129" s="2855">
        <v>0.1</v>
      </c>
      <c r="F129" s="2855">
        <v>15</v>
      </c>
    </row>
    <row r="130" spans="1:6" ht="24">
      <c r="A130" s="2855">
        <v>58</v>
      </c>
      <c r="B130" s="3482" t="s">
        <v>2773</v>
      </c>
      <c r="C130" s="2855" t="s">
        <v>2774</v>
      </c>
      <c r="D130" s="2829" t="s">
        <v>2775</v>
      </c>
      <c r="E130" s="2855">
        <v>0.1</v>
      </c>
      <c r="F130" s="2855">
        <v>15</v>
      </c>
    </row>
    <row r="131" spans="1:6" ht="24">
      <c r="A131" s="2855">
        <v>59</v>
      </c>
      <c r="B131" s="3482"/>
      <c r="C131" s="2855" t="s">
        <v>2776</v>
      </c>
      <c r="D131" s="2829" t="s">
        <v>2777</v>
      </c>
      <c r="E131" s="2855">
        <v>0.1</v>
      </c>
      <c r="F131" s="2855">
        <v>15</v>
      </c>
    </row>
    <row r="132" spans="1:6" ht="24">
      <c r="A132" s="2855">
        <v>60</v>
      </c>
      <c r="B132" s="3483" t="s">
        <v>2778</v>
      </c>
      <c r="C132" s="2855" t="s">
        <v>2779</v>
      </c>
      <c r="D132" s="2829" t="s">
        <v>2780</v>
      </c>
      <c r="E132" s="2855">
        <v>0.1</v>
      </c>
      <c r="F132" s="2855">
        <v>15</v>
      </c>
    </row>
    <row r="133" spans="1:6" ht="24">
      <c r="A133" s="2855">
        <v>61</v>
      </c>
      <c r="B133" s="3484"/>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24">
      <c r="A135" s="2855">
        <v>63</v>
      </c>
      <c r="B135" s="3482" t="s">
        <v>2786</v>
      </c>
      <c r="C135" s="2855" t="s">
        <v>2787</v>
      </c>
      <c r="D135" s="2829" t="s">
        <v>2788</v>
      </c>
      <c r="E135" s="2855">
        <v>0.1</v>
      </c>
      <c r="F135" s="2855">
        <v>15</v>
      </c>
    </row>
    <row r="136" spans="1:6" ht="24">
      <c r="A136" s="2855">
        <v>64</v>
      </c>
      <c r="B136" s="3482"/>
      <c r="C136" s="2855" t="s">
        <v>2789</v>
      </c>
      <c r="D136" s="2829" t="s">
        <v>2790</v>
      </c>
      <c r="E136" s="2855">
        <v>0.1</v>
      </c>
      <c r="F136" s="2855">
        <v>15</v>
      </c>
    </row>
    <row r="137" spans="1:6" ht="24">
      <c r="A137" s="2855">
        <v>65</v>
      </c>
      <c r="B137" s="2855" t="s">
        <v>2791</v>
      </c>
      <c r="C137" s="2855" t="s">
        <v>2792</v>
      </c>
      <c r="D137" s="2829" t="s">
        <v>2793</v>
      </c>
      <c r="E137" s="2855">
        <v>0.1</v>
      </c>
      <c r="F137" s="2855">
        <v>15</v>
      </c>
    </row>
    <row r="138" spans="1:6" ht="14.4">
      <c r="A138" s="2855"/>
      <c r="B138" s="2855"/>
      <c r="C138" s="2855"/>
      <c r="D138" s="2855"/>
      <c r="E138" s="2855" t="s">
        <v>2794</v>
      </c>
      <c r="F138" s="285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906</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8" thickBot="1">
      <c r="A4" s="1389"/>
      <c r="B4" s="3179" t="s">
        <v>915</v>
      </c>
      <c r="C4" s="3179"/>
      <c r="D4" s="3179"/>
      <c r="E4" s="1389"/>
    </row>
    <row r="5" spans="1:5" ht="16.2" thickTop="1">
      <c r="B5" s="3177" t="s">
        <v>907</v>
      </c>
      <c r="C5" s="1390" t="s">
        <v>908</v>
      </c>
      <c r="D5" s="795">
        <f ca="1">结果表!H101</f>
        <v>27640</v>
      </c>
    </row>
    <row r="6" spans="1:5" ht="15.6">
      <c r="B6" s="3177"/>
      <c r="C6" s="1390" t="s">
        <v>909</v>
      </c>
      <c r="D6" s="795" t="str">
        <f ca="1">NUMBERSTRING(INT(D5*10000),2)&amp;"元整"</f>
        <v>贰亿柒仟陆佰肆拾万元整</v>
      </c>
    </row>
    <row r="7" spans="1:5" ht="15.6">
      <c r="B7" s="3182"/>
      <c r="C7" s="1391" t="s">
        <v>910</v>
      </c>
      <c r="D7" s="796">
        <f ca="1">结果表!H102</f>
        <v>24060</v>
      </c>
    </row>
    <row r="8" spans="1:5" ht="15.6">
      <c r="B8" s="3183" t="str">
        <f>结果表!E103</f>
        <v>2.估价师知悉的法定优先受偿款</v>
      </c>
      <c r="C8" s="1392" t="s">
        <v>911</v>
      </c>
      <c r="D8" s="796">
        <f>结果表!H103</f>
        <v>0</v>
      </c>
    </row>
    <row r="9" spans="1:5" ht="15.6">
      <c r="B9" s="3185"/>
      <c r="C9" s="1390" t="s">
        <v>909</v>
      </c>
      <c r="D9" s="795" t="str">
        <f>NUMBERSTRING(INT(D8*10000),2)&amp;"元整"</f>
        <v>零元整</v>
      </c>
    </row>
    <row r="10" spans="1:5" ht="15.6">
      <c r="B10" s="1393" t="s">
        <v>914</v>
      </c>
      <c r="C10" s="1394" t="s">
        <v>912</v>
      </c>
      <c r="D10" s="797">
        <f>结果表!H104</f>
        <v>0</v>
      </c>
    </row>
    <row r="11" spans="1:5" ht="15.6">
      <c r="B11" s="1393" t="s">
        <v>916</v>
      </c>
      <c r="C11" s="1394" t="s">
        <v>917</v>
      </c>
      <c r="D11" s="797">
        <f>结果表!H105</f>
        <v>0</v>
      </c>
    </row>
    <row r="12" spans="1:5" ht="15.6">
      <c r="B12" s="1393" t="s">
        <v>918</v>
      </c>
      <c r="C12" s="1394" t="s">
        <v>917</v>
      </c>
      <c r="D12" s="797">
        <f>结果表!H106</f>
        <v>0</v>
      </c>
    </row>
    <row r="13" spans="1:5" ht="15.6">
      <c r="B13" s="3176" t="str">
        <f>结果表!E107</f>
        <v>3.房地产抵押价值</v>
      </c>
      <c r="C13" s="1395" t="s">
        <v>908</v>
      </c>
      <c r="D13" s="798">
        <f ca="1">结果表!H107</f>
        <v>27640</v>
      </c>
    </row>
    <row r="14" spans="1:5" ht="15.6">
      <c r="B14" s="3177"/>
      <c r="C14" s="1390" t="s">
        <v>909</v>
      </c>
      <c r="D14" s="795" t="str">
        <f ca="1">NUMBERSTRING(INT(D13*10000),2)&amp;"元整"</f>
        <v>贰亿柒仟陆佰肆拾万元整</v>
      </c>
    </row>
    <row r="15" spans="1:5" ht="15.6">
      <c r="B15" s="3182"/>
      <c r="C15" s="1391" t="s">
        <v>919</v>
      </c>
      <c r="D15" s="804">
        <f ca="1">结果表!H108</f>
        <v>24060</v>
      </c>
    </row>
    <row r="16" spans="1:5" ht="15.6">
      <c r="B16" s="3183" t="str">
        <f>结果表!E109</f>
        <v>——</v>
      </c>
      <c r="C16" s="1395" t="s">
        <v>920</v>
      </c>
      <c r="D16" s="1396" t="str">
        <f>结果表!H109</f>
        <v>——</v>
      </c>
    </row>
    <row r="17" spans="1:5" ht="15.6">
      <c r="B17" s="3184"/>
      <c r="C17" s="1390" t="s">
        <v>921</v>
      </c>
      <c r="D17" s="795" t="e">
        <f>NUMBERSTRING(INT(D16*10000),2)&amp;"元整"</f>
        <v>#VALUE!</v>
      </c>
    </row>
    <row r="18" spans="1:5" ht="15.6">
      <c r="B18" s="3185"/>
      <c r="C18" s="1391" t="s">
        <v>910</v>
      </c>
      <c r="D18" s="804" t="str">
        <f>结果表!H110</f>
        <v>——</v>
      </c>
    </row>
    <row r="19" spans="1:5" ht="15.6">
      <c r="B19" s="3176" t="str">
        <f>结果表!E111</f>
        <v>——</v>
      </c>
      <c r="C19" s="1395" t="s">
        <v>908</v>
      </c>
      <c r="D19" s="796" t="str">
        <f>结果表!H111</f>
        <v>——</v>
      </c>
    </row>
    <row r="20" spans="1:5" ht="15.6">
      <c r="B20" s="3177"/>
      <c r="C20" s="1390" t="s">
        <v>921</v>
      </c>
      <c r="D20" s="795" t="e">
        <f>NUMBERSTRING(INT(D19*10000),2)&amp;"元整"</f>
        <v>#VALUE!</v>
      </c>
    </row>
    <row r="21" spans="1:5" ht="16.2" thickBot="1">
      <c r="B21" s="3178"/>
      <c r="C21" s="1397" t="s">
        <v>919</v>
      </c>
      <c r="D21" s="805" t="str">
        <f>结果表!H112</f>
        <v>——</v>
      </c>
    </row>
    <row r="22" spans="1:5" ht="14.4" thickTop="1">
      <c r="B22" s="1398" t="s">
        <v>922</v>
      </c>
    </row>
    <row r="24" spans="1:5" ht="17.399999999999999">
      <c r="A24" s="1399"/>
      <c r="B24" s="1400" t="s">
        <v>913</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1.0556000000000001</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0.96089999999999998</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53882</v>
      </c>
      <c r="C2" s="2" t="s">
        <v>106</v>
      </c>
      <c r="D2" s="191"/>
      <c r="E2" s="191"/>
      <c r="F2" s="191"/>
      <c r="G2" s="191"/>
    </row>
    <row r="3" spans="1:7" s="192" customFormat="1" ht="18" customHeight="1" thickBot="1">
      <c r="A3" s="195" t="s">
        <v>58</v>
      </c>
      <c r="B3" s="196">
        <f ca="1">ROUND(B2*10000/'数据-汇总表'!E3,0)</f>
        <v>14649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736</v>
      </c>
      <c r="D10" s="793">
        <f>'数据-汇总表'!E6</f>
        <v>36780.86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736</v>
      </c>
      <c r="D19" s="204">
        <f>'数据-汇总表'!E3</f>
        <v>36780.86</v>
      </c>
      <c r="E19" s="203">
        <f>'数据-取费表'!B31</f>
        <v>200</v>
      </c>
      <c r="F19" s="223"/>
      <c r="G19" s="1" t="s">
        <v>436</v>
      </c>
    </row>
    <row r="20" spans="1:7" s="206" customFormat="1" ht="13.5" customHeight="1">
      <c r="A20" s="729" t="s">
        <v>419</v>
      </c>
      <c r="B20" s="202" t="s">
        <v>77</v>
      </c>
      <c r="C20" s="224">
        <f>ROUND((C5+C19)*F20,0)</f>
        <v>427</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1357</v>
      </c>
      <c r="D22" s="227">
        <f ca="1">C26</f>
        <v>5.9999999999999995E-4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1298</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46</v>
      </c>
      <c r="D24" s="230"/>
      <c r="E24" s="230"/>
      <c r="F24" s="231"/>
      <c r="G24" s="232" t="s">
        <v>82</v>
      </c>
    </row>
    <row r="25" spans="1:7" s="206" customFormat="1" ht="24">
      <c r="A25" s="732" t="s">
        <v>348</v>
      </c>
      <c r="B25" s="207" t="s">
        <v>420</v>
      </c>
      <c r="C25" s="1040">
        <f ca="1">ROUND(IF('数据-取费表'!B22&lt;=1,C20*F22*'数据-取费表'!B23/2,C20*(POWER((1+F22),'数据-取费表'!B23/2)-1)),0)</f>
        <v>13</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6.4">
      <c r="A27" s="729" t="s">
        <v>342</v>
      </c>
      <c r="B27" s="236" t="s">
        <v>85</v>
      </c>
      <c r="C27" s="237">
        <f>C28</f>
        <v>2395</v>
      </c>
      <c r="D27" s="227">
        <f>C29</f>
        <v>2.2000000000000001E-3</v>
      </c>
      <c r="E27" s="228" t="s">
        <v>99</v>
      </c>
      <c r="F27" s="238">
        <f>'数据-取费表'!Q16</f>
        <v>0.11</v>
      </c>
      <c r="G27" s="239" t="s">
        <v>431</v>
      </c>
    </row>
    <row r="28" spans="1:7" s="206" customFormat="1" ht="13.5" customHeight="1">
      <c r="A28" s="732" t="s">
        <v>349</v>
      </c>
      <c r="B28" s="240" t="s">
        <v>424</v>
      </c>
      <c r="C28" s="241">
        <f>ROUND((C5+C19+C20)*F27*'数据-取费表'!B21/'数据-取费表'!B20,0)</f>
        <v>2395</v>
      </c>
      <c r="D28" s="227"/>
      <c r="E28" s="228"/>
      <c r="F28" s="238"/>
      <c r="G28" s="239"/>
    </row>
    <row r="29" spans="1:7" s="206" customFormat="1" ht="13.5" customHeight="1">
      <c r="A29" s="732" t="s">
        <v>347</v>
      </c>
      <c r="B29" s="240" t="s">
        <v>425</v>
      </c>
      <c r="C29" s="230">
        <f>ROUND(C21*F27*'数据-取费表'!B21/'数据-取费表'!B20,4)</f>
        <v>2.2000000000000001E-3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24570</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22069</v>
      </c>
      <c r="D34" s="209"/>
      <c r="E34" s="212"/>
      <c r="F34" s="249">
        <f>IF('数据-取费表'!B24=0,1,'数据-取费表'!N16)</f>
        <v>1</v>
      </c>
      <c r="G34" s="211" t="s">
        <v>89</v>
      </c>
    </row>
    <row r="35" spans="1:7" ht="13.5" customHeight="1">
      <c r="A35" s="732" t="s">
        <v>351</v>
      </c>
      <c r="B35" s="207" t="s">
        <v>33</v>
      </c>
      <c r="C35" s="212">
        <f>ROUND(C34*F35,0)</f>
        <v>1103</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736</v>
      </c>
      <c r="D37" s="209">
        <f>'数据-汇总表'!E3</f>
        <v>36780.86</v>
      </c>
      <c r="E37" s="241">
        <f>'数据-取费表'!B35</f>
        <v>200</v>
      </c>
      <c r="F37" s="251"/>
      <c r="G37" s="253" t="s">
        <v>92</v>
      </c>
    </row>
    <row r="38" spans="1:7" ht="13.5" customHeight="1">
      <c r="A38" s="732" t="s">
        <v>354</v>
      </c>
      <c r="B38" s="207" t="s">
        <v>36</v>
      </c>
      <c r="C38" s="212">
        <f>ROUND(C34*F38,0)</f>
        <v>662</v>
      </c>
      <c r="D38" s="212"/>
      <c r="E38" s="212"/>
      <c r="F38" s="251">
        <f>'数据-取费表'!B36</f>
        <v>0.03</v>
      </c>
      <c r="G38" s="211" t="s">
        <v>90</v>
      </c>
    </row>
    <row r="39" spans="1:7" s="206" customFormat="1" ht="13.5" customHeight="1">
      <c r="A39" s="729" t="s">
        <v>338</v>
      </c>
      <c r="B39" s="202" t="s">
        <v>77</v>
      </c>
      <c r="C39" s="224">
        <f>ROUND(C33*F20,0)</f>
        <v>491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777</v>
      </c>
      <c r="D41" s="227">
        <f ca="1">C44</f>
        <v>5.9999999999999995E-4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762</v>
      </c>
      <c r="D42" s="230"/>
      <c r="E42" s="230"/>
      <c r="F42" s="231"/>
      <c r="G42" s="3357" t="s">
        <v>94</v>
      </c>
    </row>
    <row r="43" spans="1:7" ht="13.5" customHeight="1">
      <c r="A43" s="732" t="s">
        <v>347</v>
      </c>
      <c r="B43" s="207" t="s">
        <v>426</v>
      </c>
      <c r="C43" s="230">
        <f ca="1">ROUND(IF('数据-取费表'!B22&lt;=1,C39*F22*'数据-取费表'!B21/2,C39*(POWER((1+F22),'数据-取费表'!B21/2)-1)),0)</f>
        <v>15</v>
      </c>
      <c r="D43" s="230"/>
      <c r="E43" s="230"/>
      <c r="F43" s="231"/>
      <c r="G43" s="3358"/>
    </row>
    <row r="44" spans="1:7" ht="13.5" customHeight="1">
      <c r="A44" s="732"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29" t="s">
        <v>341</v>
      </c>
      <c r="B45" s="236" t="s">
        <v>85</v>
      </c>
      <c r="C45" s="237">
        <f>C46</f>
        <v>2757</v>
      </c>
      <c r="D45" s="227">
        <f>C47</f>
        <v>2.2000000000000001E-3</v>
      </c>
      <c r="E45" s="228" t="s">
        <v>102</v>
      </c>
      <c r="F45" s="238"/>
      <c r="G45" s="239" t="s">
        <v>434</v>
      </c>
    </row>
    <row r="46" spans="1:7" s="206" customFormat="1" ht="13.5" customHeight="1">
      <c r="A46" s="732" t="s">
        <v>349</v>
      </c>
      <c r="B46" s="240" t="s">
        <v>427</v>
      </c>
      <c r="C46" s="241">
        <f>ROUND((C33+C39)*F27,0)</f>
        <v>2757</v>
      </c>
      <c r="D46" s="255"/>
      <c r="E46" s="228"/>
      <c r="F46" s="238"/>
      <c r="G46" s="239"/>
    </row>
    <row r="47" spans="1:7" s="206" customFormat="1" ht="13.5" customHeight="1">
      <c r="A47" s="732" t="s">
        <v>347</v>
      </c>
      <c r="B47" s="240" t="s">
        <v>429</v>
      </c>
      <c r="C47" s="230">
        <f>ROUND(C40*F27,4)</f>
        <v>2.2000000000000001E-3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30920</v>
      </c>
      <c r="D49" s="224"/>
      <c r="E49" s="224"/>
      <c r="F49" s="256"/>
      <c r="G49" s="226" t="s">
        <v>435</v>
      </c>
    </row>
    <row r="50" spans="1:7" s="250" customFormat="1" ht="24">
      <c r="A50" s="729" t="s">
        <v>344</v>
      </c>
      <c r="B50" s="202" t="s">
        <v>97</v>
      </c>
      <c r="C50" s="224"/>
      <c r="D50" s="224"/>
      <c r="E50" s="224"/>
      <c r="F50" s="256">
        <f>IF('数据-取费表'!B24=0,'数据-取费表'!N16,1)</f>
        <v>0.85</v>
      </c>
      <c r="G50" s="239" t="s">
        <v>98</v>
      </c>
    </row>
    <row r="51" spans="1:7" ht="16.5" customHeight="1">
      <c r="A51" s="729" t="s">
        <v>345</v>
      </c>
      <c r="B51" s="202" t="s">
        <v>105</v>
      </c>
      <c r="C51" s="224">
        <f ca="1">ROUND(C49*F50,0)</f>
        <v>26282</v>
      </c>
      <c r="D51" s="224"/>
      <c r="E51" s="224"/>
      <c r="F51" s="256"/>
      <c r="G51" s="226" t="s">
        <v>37</v>
      </c>
    </row>
    <row r="52" spans="1:7" s="200" customFormat="1" ht="16.8" thickBot="1">
      <c r="A52" s="257" t="s">
        <v>38</v>
      </c>
      <c r="B52" s="258"/>
      <c r="C52" s="259">
        <f ca="1">C31+C51</f>
        <v>53882</v>
      </c>
      <c r="D52" s="258"/>
      <c r="E52" s="258"/>
      <c r="F52" s="258"/>
      <c r="G52" s="260"/>
    </row>
    <row r="55" spans="1:7" ht="15">
      <c r="B55" s="262" t="s">
        <v>39</v>
      </c>
      <c r="C55" s="263"/>
    </row>
    <row r="56" spans="1:7">
      <c r="B56" s="265" t="s">
        <v>40</v>
      </c>
      <c r="C56" s="266">
        <f ca="1">ROUND(C51/C52,3)</f>
        <v>0.48799999999999999</v>
      </c>
    </row>
    <row r="57" spans="1:7">
      <c r="B57" s="265" t="s">
        <v>41</v>
      </c>
      <c r="C57" s="267">
        <f ca="1">1-C56</f>
        <v>0.51200000000000001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3178</v>
      </c>
      <c r="B1" s="3494"/>
    </row>
    <row r="2" spans="1:7" ht="15" thickBot="1">
      <c r="A2" s="2966"/>
      <c r="B2" s="2966"/>
    </row>
    <row r="3" spans="1:7" ht="15" thickBot="1">
      <c r="A3" s="2966"/>
      <c r="B3" s="2966"/>
      <c r="C3" s="2967" t="s">
        <v>2808</v>
      </c>
      <c r="D3" s="2967" t="s">
        <v>2864</v>
      </c>
      <c r="E3" s="2967" t="s">
        <v>2810</v>
      </c>
      <c r="F3" s="2967" t="s">
        <v>2865</v>
      </c>
      <c r="G3" s="2967" t="s">
        <v>2628</v>
      </c>
    </row>
    <row r="4" spans="1:7" ht="1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495" t="s">
        <v>3229</v>
      </c>
      <c r="B1" s="3495"/>
      <c r="C1" s="3495"/>
      <c r="D1" s="3495"/>
      <c r="E1" s="3495"/>
      <c r="F1" s="3496"/>
    </row>
    <row r="2" spans="1:6">
      <c r="A2" s="3000" t="s">
        <v>3230</v>
      </c>
    </row>
    <row r="3" spans="1:6">
      <c r="A3" s="3000" t="s">
        <v>3231</v>
      </c>
      <c r="F3" s="3001" t="s">
        <v>3232</v>
      </c>
    </row>
    <row r="4" spans="1:6">
      <c r="A4" s="3002" t="s">
        <v>670</v>
      </c>
      <c r="B4" s="3002" t="s">
        <v>671</v>
      </c>
      <c r="C4" s="3002" t="s">
        <v>21</v>
      </c>
      <c r="D4" s="3002" t="s">
        <v>672</v>
      </c>
      <c r="E4" s="3002" t="s">
        <v>3</v>
      </c>
      <c r="F4" s="3002" t="s">
        <v>3233</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45775</v>
      </c>
      <c r="B1" s="2927" t="s">
        <v>3375</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08" customFormat="1" ht="1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c r="AF2" t="s">
        <v>3402</v>
      </c>
      <c r="AG2" t="s">
        <v>671</v>
      </c>
      <c r="AH2" t="s">
        <v>21</v>
      </c>
      <c r="AI2" t="s">
        <v>3403</v>
      </c>
      <c r="AJ2" t="s">
        <v>3</v>
      </c>
      <c r="AK2" t="s">
        <v>3404</v>
      </c>
      <c r="AM2" t="s">
        <v>3402</v>
      </c>
      <c r="AN2" t="s">
        <v>671</v>
      </c>
      <c r="AO2" t="s">
        <v>21</v>
      </c>
      <c r="AP2" t="s">
        <v>3403</v>
      </c>
      <c r="AQ2" t="s">
        <v>3</v>
      </c>
      <c r="AR2" t="s">
        <v>3404</v>
      </c>
    </row>
    <row r="3" spans="1:44" s="2884" customFormat="1" ht="13.2">
      <c r="A3" s="2882" t="s">
        <v>2816</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3.2">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3401</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3" customFormat="1" ht="13.2">
      <c r="A6" s="2038" t="s">
        <v>3400</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3399</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3.2">
      <c r="A8" s="2038" t="s">
        <v>3407</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3" customFormat="1" ht="13.2">
      <c r="A9" s="2038" t="s">
        <v>3406</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3" customFormat="1" ht="13.2">
      <c r="A10" s="2038" t="s">
        <v>3379</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3" customFormat="1" ht="13.2">
      <c r="A11" s="2903" t="s">
        <v>3373</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3" customFormat="1" ht="13.2">
      <c r="A12" s="2903" t="s">
        <v>3372</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3" customFormat="1" ht="13.2">
      <c r="A13" s="2903" t="s">
        <v>3368</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3" customFormat="1" ht="13.2">
      <c r="A14" s="2903" t="s">
        <v>3367</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3" customFormat="1" ht="13.2">
      <c r="A15" s="2903" t="s">
        <v>3365</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3" customFormat="1" ht="13.2">
      <c r="A16" s="2903" t="s">
        <v>3364</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3" customFormat="1" ht="13.2">
      <c r="A17" s="2903" t="s">
        <v>3363</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3" customFormat="1" ht="13.2">
      <c r="A18" s="2903" t="s">
        <v>3361</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3" customFormat="1" ht="13.2">
      <c r="A19" s="2903" t="s">
        <v>3352</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3" customFormat="1" ht="13.2">
      <c r="A20" s="2903" t="s">
        <v>2817</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3" customFormat="1" ht="13.2">
      <c r="A21" s="2903" t="s">
        <v>2818</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3" customFormat="1" ht="13.2">
      <c r="A22" s="2903" t="s">
        <v>2819</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3" customFormat="1" ht="13.2">
      <c r="A23" s="2903" t="s">
        <v>2820</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3378</v>
      </c>
    </row>
    <row r="27" spans="1:44">
      <c r="I27" s="1403" t="s">
        <v>2822</v>
      </c>
    </row>
    <row r="29" spans="1:44" s="2007" customFormat="1" ht="13.2">
      <c r="B29" s="2927" t="s">
        <v>3376</v>
      </c>
      <c r="C29" s="2928"/>
      <c r="D29" s="2928"/>
      <c r="E29" s="2928"/>
      <c r="F29" s="2928"/>
      <c r="G29" s="2928"/>
      <c r="H29" s="2928"/>
      <c r="I29" s="2928"/>
      <c r="J29" s="2894"/>
      <c r="K29" s="2928" t="s">
        <v>2823</v>
      </c>
      <c r="L29" s="2928"/>
      <c r="M29" s="2928"/>
      <c r="N29" s="2928"/>
      <c r="O29" s="2928"/>
      <c r="P29" s="2928"/>
      <c r="Q29" s="2894"/>
      <c r="R29" s="3497" t="s">
        <v>2824</v>
      </c>
      <c r="S29" s="3498"/>
      <c r="T29" s="3498"/>
      <c r="U29" s="3498"/>
      <c r="V29" s="3498"/>
      <c r="W29" s="3498"/>
      <c r="X29" s="2894"/>
      <c r="Y29" s="3497" t="s">
        <v>2825</v>
      </c>
      <c r="Z29" s="3498"/>
      <c r="AA29" s="3498"/>
      <c r="AB29" s="3498"/>
      <c r="AC29" s="3498"/>
      <c r="AD29" s="3498"/>
    </row>
    <row r="30" spans="1:44" s="2008" customFormat="1" ht="15" thickBot="1">
      <c r="B30" s="2879"/>
      <c r="C30" s="2880"/>
      <c r="D30" s="2009" t="s">
        <v>2826</v>
      </c>
      <c r="E30" s="2010" t="s">
        <v>2827</v>
      </c>
      <c r="F30" s="2010" t="s">
        <v>2828</v>
      </c>
      <c r="G30" s="2010" t="s">
        <v>2829</v>
      </c>
      <c r="H30" s="2010"/>
      <c r="I30" s="2010" t="s">
        <v>2830</v>
      </c>
      <c r="J30" s="2881"/>
      <c r="K30" s="2009" t="s">
        <v>2826</v>
      </c>
      <c r="L30" s="2010" t="s">
        <v>2827</v>
      </c>
      <c r="M30" s="2010" t="s">
        <v>2828</v>
      </c>
      <c r="N30" s="2010" t="s">
        <v>2829</v>
      </c>
      <c r="O30" s="2010"/>
      <c r="P30" s="2010" t="s">
        <v>2830</v>
      </c>
      <c r="Q30" s="2881"/>
      <c r="R30" s="2009" t="s">
        <v>2826</v>
      </c>
      <c r="S30" s="2010" t="s">
        <v>2827</v>
      </c>
      <c r="T30" s="2010" t="s">
        <v>2828</v>
      </c>
      <c r="U30" s="2010" t="s">
        <v>2829</v>
      </c>
      <c r="V30" s="2010"/>
      <c r="W30" s="2010" t="s">
        <v>2830</v>
      </c>
      <c r="X30" s="2881"/>
      <c r="Y30" s="2009" t="s">
        <v>2826</v>
      </c>
      <c r="Z30" s="2010" t="s">
        <v>2827</v>
      </c>
      <c r="AA30" s="2010" t="s">
        <v>2828</v>
      </c>
      <c r="AB30" s="2010" t="s">
        <v>2829</v>
      </c>
      <c r="AC30" s="2010"/>
      <c r="AD30" s="2010" t="s">
        <v>2830</v>
      </c>
      <c r="AG30" t="s">
        <v>671</v>
      </c>
      <c r="AH30" t="s">
        <v>21</v>
      </c>
      <c r="AI30" t="s">
        <v>3403</v>
      </c>
      <c r="AJ30"/>
      <c r="AK30" t="s">
        <v>3404</v>
      </c>
      <c r="AN30" t="s">
        <v>671</v>
      </c>
      <c r="AO30" t="s">
        <v>21</v>
      </c>
      <c r="AP30" t="s">
        <v>3403</v>
      </c>
      <c r="AQ30"/>
      <c r="AR30" t="s">
        <v>3404</v>
      </c>
    </row>
    <row r="31" spans="1:44" s="2884" customFormat="1" ht="13.2">
      <c r="A31" s="2882" t="s">
        <v>2831</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7" customFormat="1" ht="13.2">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3401</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3" customFormat="1" ht="13.2">
      <c r="A34" s="2038" t="s">
        <v>3400</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3408</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3.2">
      <c r="A36" s="2038" t="s">
        <v>3405</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3" customFormat="1" ht="13.2">
      <c r="A37" s="2038" t="s">
        <v>3406</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3" customFormat="1" ht="13.2">
      <c r="A38" s="2038" t="s">
        <v>3370</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3" customFormat="1" ht="13.2">
      <c r="A39" s="2903" t="s">
        <v>3374</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3" customFormat="1" ht="13.2">
      <c r="A40" s="2903" t="s">
        <v>3371</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3" customFormat="1" ht="13.2">
      <c r="A41" s="2903" t="s">
        <v>3369</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3" customFormat="1" ht="13.2">
      <c r="A42" s="2903" t="s">
        <v>3367</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3" customFormat="1" ht="13.2">
      <c r="A43" s="2903" t="s">
        <v>3366</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3" customFormat="1" ht="13.2">
      <c r="A44" s="2903" t="s">
        <v>3364</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3" customFormat="1" ht="13.2">
      <c r="A45" s="2903" t="s">
        <v>3363</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3" customFormat="1" ht="13.2">
      <c r="A46" s="2903" t="s">
        <v>3362</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3" customFormat="1" ht="13.2">
      <c r="A47" s="2903" t="s">
        <v>3352</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3" customFormat="1" ht="13.2">
      <c r="A48" s="2903" t="s">
        <v>2832</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3" customFormat="1" ht="13.2">
      <c r="A49" s="2903" t="s">
        <v>2833</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3" customFormat="1" ht="13.2">
      <c r="A50" s="2903" t="s">
        <v>2834</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3" customFormat="1" ht="13.2">
      <c r="A51" s="2903" t="s">
        <v>2835</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8" customFormat="1" ht="15" thickBot="1">
      <c r="B2" s="2009" t="s">
        <v>458</v>
      </c>
      <c r="C2" s="2009" t="s">
        <v>459</v>
      </c>
      <c r="D2" s="2010" t="s">
        <v>460</v>
      </c>
      <c r="E2" s="2010" t="s">
        <v>461</v>
      </c>
      <c r="F2" s="2009" t="s">
        <v>462</v>
      </c>
      <c r="G2" s="2011"/>
      <c r="I2" s="2009" t="s">
        <v>458</v>
      </c>
      <c r="J2" s="2010" t="s">
        <v>674</v>
      </c>
      <c r="K2" s="2010" t="s">
        <v>308</v>
      </c>
      <c r="L2" s="2009" t="s">
        <v>462</v>
      </c>
      <c r="N2" s="2009" t="s">
        <v>458</v>
      </c>
      <c r="O2" s="2010" t="s">
        <v>674</v>
      </c>
      <c r="P2" s="2010" t="s">
        <v>308</v>
      </c>
      <c r="Q2" s="2009" t="s">
        <v>462</v>
      </c>
      <c r="S2" s="2009" t="s">
        <v>458</v>
      </c>
      <c r="T2" s="2010" t="s">
        <v>674</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3360</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3357</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3358</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3359</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50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675</v>
      </c>
      <c r="B27" s="2039">
        <f t="shared" si="232"/>
        <v>419.31181600000002</v>
      </c>
      <c r="C27" s="2039">
        <f t="shared" si="233"/>
        <v>313.95436800000004</v>
      </c>
      <c r="D27" s="2039">
        <f t="shared" si="234"/>
        <v>313.95436800000004</v>
      </c>
      <c r="E27" s="2039">
        <f t="shared" si="235"/>
        <v>596.63028431999999</v>
      </c>
      <c r="F27" s="2039">
        <f t="shared" si="236"/>
        <v>274.74220703999998</v>
      </c>
      <c r="G27" s="350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2836</v>
      </c>
      <c r="B1" s="3510"/>
      <c r="C1" s="3510"/>
      <c r="D1" s="3510"/>
      <c r="E1" s="3510"/>
      <c r="F1" s="3510"/>
      <c r="G1" s="3511"/>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1.4"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08"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1.4" thickBot="1">
      <c r="A4" s="3509"/>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1.4"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1.4"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1.4"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1.4"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A36" sqref="A36:XFD36"/>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45775</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2306</v>
      </c>
      <c r="C26" s="1205">
        <v>43697</v>
      </c>
      <c r="D26" s="2572">
        <v>4.25</v>
      </c>
      <c r="E26" s="2572">
        <v>4.25</v>
      </c>
      <c r="F26" s="2572">
        <v>4.25</v>
      </c>
      <c r="G26" s="2572">
        <v>4.25</v>
      </c>
      <c r="H26" s="2572">
        <v>4.8499999999999996</v>
      </c>
      <c r="I26" s="2572"/>
      <c r="J26" s="2572"/>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5"/>
      <c r="C27" s="2576">
        <v>42301</v>
      </c>
      <c r="D27" s="2577">
        <v>4.3499999999999996</v>
      </c>
      <c r="E27" s="2577">
        <v>4.3499999999999996</v>
      </c>
      <c r="F27" s="2577">
        <v>4.75</v>
      </c>
      <c r="G27" s="2577">
        <v>4.75</v>
      </c>
      <c r="H27" s="2577">
        <v>4.9000000000000004</v>
      </c>
      <c r="I27" s="2577"/>
      <c r="J27" s="257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11"/>
  <sheetViews>
    <sheetView workbookViewId="0">
      <selection activeCell="G10" sqref="G10"/>
    </sheetView>
  </sheetViews>
  <sheetFormatPr defaultColWidth="9" defaultRowHeight="12"/>
  <cols>
    <col min="1" max="1" width="25.77734375" style="2856" bestFit="1" customWidth="1"/>
    <col min="2" max="2" width="28.109375" style="2856" customWidth="1"/>
    <col min="3" max="3" width="9" style="2856"/>
    <col min="4" max="4" width="25" style="2856" bestFit="1" customWidth="1"/>
    <col min="5" max="5" width="11.21875" style="2856" bestFit="1" customWidth="1"/>
    <col min="6" max="6" width="11.33203125" style="2856" customWidth="1"/>
    <col min="7" max="12" width="9" style="2856"/>
    <col min="13" max="13" width="15" style="2856" bestFit="1" customWidth="1"/>
    <col min="14" max="16384" width="9" style="2856"/>
  </cols>
  <sheetData>
    <row r="1" spans="1:14">
      <c r="B1" s="2856" t="s">
        <v>3452</v>
      </c>
      <c r="M1" s="2856" t="s">
        <v>3453</v>
      </c>
    </row>
    <row r="2" spans="1:14">
      <c r="A2" s="2856" t="s">
        <v>3454</v>
      </c>
      <c r="B2" s="2856" t="s">
        <v>3455</v>
      </c>
      <c r="C2" s="2856" t="s">
        <v>3456</v>
      </c>
      <c r="D2" s="2856" t="s">
        <v>3457</v>
      </c>
      <c r="E2" s="2856" t="s">
        <v>3458</v>
      </c>
      <c r="F2" s="2856" t="s">
        <v>3459</v>
      </c>
      <c r="G2" s="2856" t="s">
        <v>3460</v>
      </c>
      <c r="H2" s="2856" t="s">
        <v>3461</v>
      </c>
      <c r="I2" s="2856" t="s">
        <v>3462</v>
      </c>
    </row>
    <row r="3" spans="1:14">
      <c r="A3" s="2856" t="s">
        <v>3463</v>
      </c>
      <c r="B3" s="2856" t="s">
        <v>3465</v>
      </c>
      <c r="C3" s="2856">
        <v>22871</v>
      </c>
      <c r="D3" s="2856" t="s">
        <v>3466</v>
      </c>
      <c r="E3" s="2856">
        <v>3.5</v>
      </c>
      <c r="F3" s="2856">
        <v>29217702.5</v>
      </c>
      <c r="G3" s="2856" t="s">
        <v>3467</v>
      </c>
      <c r="H3" s="2856" t="s">
        <v>3468</v>
      </c>
      <c r="I3" s="2856" t="s">
        <v>3469</v>
      </c>
    </row>
    <row r="4" spans="1:14">
      <c r="A4" s="2856" t="s">
        <v>3463</v>
      </c>
      <c r="B4" s="2856" t="s">
        <v>3470</v>
      </c>
      <c r="C4" s="2856">
        <v>3038</v>
      </c>
      <c r="D4" s="2856" t="s">
        <v>3471</v>
      </c>
      <c r="E4" s="2856">
        <v>4.58</v>
      </c>
      <c r="F4" s="2856">
        <v>5078624.6399999997</v>
      </c>
      <c r="G4" s="2856" t="s">
        <v>3467</v>
      </c>
      <c r="H4" s="2856" t="s">
        <v>3468</v>
      </c>
      <c r="I4" s="2856" t="s">
        <v>3469</v>
      </c>
      <c r="M4" s="2856">
        <v>815801.76</v>
      </c>
      <c r="N4" s="2856" t="s">
        <v>3472</v>
      </c>
    </row>
    <row r="5" spans="1:14">
      <c r="A5" s="2856" t="s">
        <v>3463</v>
      </c>
      <c r="B5" s="2856" t="s">
        <v>3470</v>
      </c>
      <c r="C5" s="2856">
        <v>1121</v>
      </c>
      <c r="D5" s="2856" t="s">
        <v>3473</v>
      </c>
      <c r="E5" s="2856">
        <v>4.58</v>
      </c>
      <c r="F5" s="2856">
        <v>1873976</v>
      </c>
      <c r="G5" s="2856" t="s">
        <v>3467</v>
      </c>
      <c r="H5" s="2856" t="s">
        <v>3468</v>
      </c>
      <c r="I5" s="2856" t="s">
        <v>3469</v>
      </c>
      <c r="M5" s="2856">
        <v>515859.39</v>
      </c>
      <c r="N5" s="2856" t="s">
        <v>3474</v>
      </c>
    </row>
    <row r="6" spans="1:14">
      <c r="A6" s="2856" t="s">
        <v>3475</v>
      </c>
      <c r="B6" s="2856" t="s">
        <v>3476</v>
      </c>
      <c r="C6" s="2856">
        <v>8177</v>
      </c>
      <c r="D6" s="2856" t="s">
        <v>3477</v>
      </c>
      <c r="E6" s="2856">
        <v>3.08</v>
      </c>
      <c r="F6" s="2856">
        <f>766048.62*12</f>
        <v>9192583.4399999995</v>
      </c>
      <c r="G6" s="2856" t="s">
        <v>3478</v>
      </c>
      <c r="H6" s="2856" t="s">
        <v>3468</v>
      </c>
      <c r="I6" s="2856" t="s">
        <v>3479</v>
      </c>
    </row>
    <row r="7" spans="1:14">
      <c r="F7" s="2856">
        <f>SUM(F4:F6)</f>
        <v>16145184.079999998</v>
      </c>
    </row>
    <row r="9" spans="1:14">
      <c r="D9" s="2856" t="s">
        <v>3480</v>
      </c>
      <c r="E9" s="2856" t="s">
        <v>3481</v>
      </c>
      <c r="F9" s="2856" t="s">
        <v>3456</v>
      </c>
      <c r="G9" s="2856" t="s">
        <v>3482</v>
      </c>
      <c r="H9" s="2856" t="s">
        <v>3483</v>
      </c>
    </row>
    <row r="10" spans="1:14">
      <c r="B10" s="3165">
        <v>46918</v>
      </c>
      <c r="C10" s="2856" t="s">
        <v>3484</v>
      </c>
      <c r="D10" s="2856">
        <v>3.13</v>
      </c>
      <c r="E10" s="2856">
        <f>F6+F5+F4+M4</f>
        <v>16960985.84</v>
      </c>
      <c r="F10" s="2856">
        <f>'[2]数据-汇总表'!E19</f>
        <v>11487.92</v>
      </c>
      <c r="G10" s="2856">
        <f>ROUND(E10/365/F10,2)</f>
        <v>4.04</v>
      </c>
      <c r="H10" s="2856">
        <f>ROUND(1-(2028-2015)/60,2)</f>
        <v>0.78</v>
      </c>
    </row>
    <row r="11" spans="1:14">
      <c r="B11" s="3165">
        <v>46752</v>
      </c>
      <c r="C11" s="2856" t="s">
        <v>3485</v>
      </c>
      <c r="D11" s="2856">
        <v>2.67</v>
      </c>
      <c r="E11" s="2856">
        <f>F3</f>
        <v>29217702.5</v>
      </c>
      <c r="F11" s="2856">
        <f>'[2]数据-汇总表'!E20</f>
        <v>25292.940000000002</v>
      </c>
      <c r="G11" s="2856">
        <f>ROUND(E11/365/F11,2)</f>
        <v>3.16</v>
      </c>
      <c r="H11" s="2856">
        <f>ROUND(1-(2027-2015)/60,2)</f>
        <v>0.8</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73" workbookViewId="0">
      <selection activeCell="W81" sqref="W81"/>
    </sheetView>
  </sheetViews>
  <sheetFormatPr defaultRowHeight="14.4"/>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926</v>
      </c>
      <c r="B2" s="3194" t="s">
        <v>927</v>
      </c>
      <c r="C2" s="3194" t="s">
        <v>928</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6">
      <c r="A3" s="3189"/>
      <c r="B3" s="3189"/>
      <c r="C3" s="3189"/>
      <c r="D3" s="799" t="s">
        <v>923</v>
      </c>
      <c r="E3" s="799" t="s">
        <v>929</v>
      </c>
      <c r="F3" s="799" t="s">
        <v>923</v>
      </c>
      <c r="G3" s="799" t="s">
        <v>924</v>
      </c>
      <c r="H3" s="799" t="s">
        <v>923</v>
      </c>
      <c r="I3" s="799" t="s">
        <v>924</v>
      </c>
    </row>
    <row r="4" spans="1:9" ht="15">
      <c r="A4" s="1401" t="str">
        <f>项目基本情况!S2</f>
        <v>北京市房地产</v>
      </c>
      <c r="B4" s="799">
        <f>项目基本情况!C17</f>
        <v>36780.86</v>
      </c>
      <c r="C4" s="799">
        <f>项目基本情况!C18</f>
        <v>17362.38</v>
      </c>
      <c r="D4" s="799">
        <f ca="1">结果表!D118</f>
        <v>14539</v>
      </c>
      <c r="E4" s="799">
        <f ca="1">结果表!E118</f>
        <v>12656</v>
      </c>
      <c r="F4" s="799">
        <f ca="1">结果表!F118</f>
        <v>13101</v>
      </c>
      <c r="G4" s="799">
        <f ca="1">结果表!G118</f>
        <v>11404</v>
      </c>
      <c r="H4" s="799">
        <f ca="1">结果表!H118</f>
        <v>27640</v>
      </c>
      <c r="I4" s="799">
        <f ca="1">结果表!I118</f>
        <v>24060</v>
      </c>
    </row>
    <row r="5" spans="1:9" ht="30" customHeight="1">
      <c r="A5" s="3189" t="s">
        <v>925</v>
      </c>
      <c r="B5" s="3189"/>
      <c r="C5" s="3189"/>
      <c r="D5" s="3189" t="str">
        <f ca="1">结果表!D119</f>
        <v>壹亿肆仟伍佰叁拾玖万元整</v>
      </c>
      <c r="E5" s="3189"/>
      <c r="F5" s="3189" t="str">
        <f ca="1">结果表!F119</f>
        <v>壹亿叁仟壹佰零壹万元整</v>
      </c>
      <c r="G5" s="3189"/>
      <c r="H5" s="3189" t="str">
        <f ca="1">结果表!H119</f>
        <v>贰亿柒仟陆佰肆拾万元整</v>
      </c>
      <c r="I5" s="3189"/>
    </row>
    <row r="6" spans="1:9" ht="15.6">
      <c r="A6" s="3188" t="str">
        <f>结果表!A120</f>
        <v>估价师知悉的法定优先受偿款</v>
      </c>
      <c r="B6" s="3188"/>
      <c r="C6" s="3188"/>
      <c r="D6" s="3188">
        <f>结果表!D120</f>
        <v>0</v>
      </c>
      <c r="E6" s="3188"/>
      <c r="F6" s="3188"/>
      <c r="G6" s="3188"/>
      <c r="H6" s="3188"/>
      <c r="I6" s="3188"/>
    </row>
    <row r="7" spans="1:9" ht="15">
      <c r="A7" s="3189" t="s">
        <v>925</v>
      </c>
      <c r="B7" s="3189"/>
      <c r="C7" s="3189"/>
      <c r="D7" s="3190" t="str">
        <f>结果表!D121</f>
        <v>零元整</v>
      </c>
      <c r="E7" s="3191"/>
      <c r="F7" s="3191"/>
      <c r="G7" s="3191"/>
      <c r="H7" s="3191"/>
      <c r="I7" s="3192"/>
    </row>
    <row r="8" spans="1:9" ht="15.6">
      <c r="A8" s="3188" t="str">
        <f>结果表!A122</f>
        <v>房地产抵押价值</v>
      </c>
      <c r="B8" s="3188"/>
      <c r="C8" s="3188"/>
      <c r="D8" s="3188">
        <f ca="1">结果表!D122</f>
        <v>27640</v>
      </c>
      <c r="E8" s="3188"/>
      <c r="F8" s="3188"/>
      <c r="G8" s="3188"/>
      <c r="H8" s="3188"/>
      <c r="I8" s="3188"/>
    </row>
    <row r="9" spans="1:9" ht="15">
      <c r="A9" s="3189" t="s">
        <v>925</v>
      </c>
      <c r="B9" s="3189"/>
      <c r="C9" s="3189"/>
      <c r="D9" s="3189" t="str">
        <f ca="1">结果表!D123</f>
        <v>贰亿柒仟陆佰肆拾万元整</v>
      </c>
      <c r="E9" s="3189"/>
      <c r="F9" s="3189"/>
      <c r="G9" s="3189"/>
      <c r="H9" s="3189"/>
      <c r="I9" s="3189"/>
    </row>
    <row r="10" spans="1:9" ht="15.6">
      <c r="A10" s="3188" t="str">
        <f>结果表!A124</f>
        <v/>
      </c>
      <c r="B10" s="3188"/>
      <c r="C10" s="3188"/>
      <c r="D10" s="3188" t="str">
        <f>结果表!D124</f>
        <v>——</v>
      </c>
      <c r="E10" s="3188"/>
      <c r="F10" s="3188"/>
      <c r="G10" s="3188"/>
      <c r="H10" s="3188"/>
      <c r="I10" s="3188"/>
    </row>
    <row r="11" spans="1:9" ht="15">
      <c r="A11" s="3189" t="s">
        <v>925</v>
      </c>
      <c r="B11" s="3189"/>
      <c r="C11" s="3189"/>
      <c r="D11" s="3189" t="e">
        <f>结果表!D125</f>
        <v>#VALUE!</v>
      </c>
      <c r="E11" s="3189"/>
      <c r="F11" s="3189"/>
      <c r="G11" s="3189"/>
      <c r="H11" s="3189"/>
      <c r="I11" s="3189"/>
    </row>
    <row r="12" spans="1:9" ht="15.6">
      <c r="A12" s="3188" t="str">
        <f>结果表!A126</f>
        <v/>
      </c>
      <c r="B12" s="3188"/>
      <c r="C12" s="3188"/>
      <c r="D12" s="3188" t="str">
        <f>结果表!D126</f>
        <v>——</v>
      </c>
      <c r="E12" s="3188"/>
      <c r="F12" s="3188"/>
      <c r="G12" s="3188"/>
      <c r="H12" s="3188"/>
      <c r="I12" s="3188"/>
    </row>
    <row r="13" spans="1:9" ht="15.6" thickBot="1">
      <c r="A13" s="3186" t="s">
        <v>925</v>
      </c>
      <c r="B13" s="3186"/>
      <c r="C13" s="3186"/>
      <c r="D13" s="3186" t="e">
        <f>结果表!D127</f>
        <v>#VALUE!</v>
      </c>
      <c r="E13" s="3186"/>
      <c r="F13" s="3186"/>
      <c r="G13" s="3186"/>
      <c r="H13" s="3186"/>
      <c r="I13" s="3186"/>
    </row>
    <row r="14" spans="1:9" ht="14.4" thickTop="1">
      <c r="A14" s="3187" t="s">
        <v>930</v>
      </c>
      <c r="B14" s="3187"/>
      <c r="C14" s="3187"/>
      <c r="D14" s="3187"/>
      <c r="E14" s="3187"/>
      <c r="F14" s="3187"/>
      <c r="G14" s="3187"/>
      <c r="H14" s="3187"/>
      <c r="I14" s="3187"/>
    </row>
    <row r="16" spans="1:9" ht="17.399999999999999">
      <c r="A16" s="1402"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1" t="s">
        <v>947</v>
      </c>
      <c r="B1" s="3201"/>
      <c r="C1" s="3201"/>
      <c r="D1" s="3201"/>
    </row>
    <row r="2" spans="1:4" ht="17.399999999999999">
      <c r="A2" s="3202" t="s">
        <v>931</v>
      </c>
      <c r="B2" s="3202"/>
      <c r="C2" s="3202"/>
      <c r="D2" s="3202"/>
    </row>
    <row r="3" spans="1:4" ht="17.399999999999999">
      <c r="A3" s="1405" t="s">
        <v>932</v>
      </c>
      <c r="B3" s="1405" t="s">
        <v>933</v>
      </c>
      <c r="C3" s="1405" t="s">
        <v>934</v>
      </c>
      <c r="D3" s="1405" t="s">
        <v>935</v>
      </c>
    </row>
    <row r="4" spans="1:4" ht="56.25" customHeight="1">
      <c r="A4" s="1406">
        <f>项目基本情况!B4</f>
        <v>0</v>
      </c>
      <c r="B4" s="1407">
        <f>项目基本情况!C4</f>
        <v>0</v>
      </c>
      <c r="C4" s="1408"/>
      <c r="D4" s="1409" t="s">
        <v>936</v>
      </c>
    </row>
    <row r="5" spans="1:4" ht="56.25" customHeight="1">
      <c r="A5" s="1406">
        <f>项目基本情况!D4</f>
        <v>0</v>
      </c>
      <c r="B5" s="1407">
        <f>项目基本情况!E4</f>
        <v>0</v>
      </c>
      <c r="C5" s="1410"/>
      <c r="D5" s="1409" t="s">
        <v>936</v>
      </c>
    </row>
    <row r="6" spans="1:4" ht="17.399999999999999">
      <c r="A6" s="3202" t="s">
        <v>937</v>
      </c>
      <c r="B6" s="3202"/>
      <c r="C6" s="3202"/>
      <c r="D6" s="3202"/>
    </row>
    <row r="7" spans="1:4" ht="17.399999999999999">
      <c r="A7" s="1405" t="s">
        <v>932</v>
      </c>
      <c r="B7" s="1407" t="s">
        <v>938</v>
      </c>
      <c r="C7" s="1405" t="s">
        <v>934</v>
      </c>
      <c r="D7" s="1405" t="s">
        <v>935</v>
      </c>
    </row>
    <row r="8" spans="1:4" ht="56.25" customHeight="1">
      <c r="A8" s="1411" t="s">
        <v>390</v>
      </c>
      <c r="B8" s="1411" t="s">
        <v>0</v>
      </c>
      <c r="C8" s="1408"/>
      <c r="D8" s="1409" t="s">
        <v>936</v>
      </c>
    </row>
    <row r="10" spans="1:4" ht="17.399999999999999">
      <c r="A10" s="1412" t="s">
        <v>939</v>
      </c>
    </row>
    <row r="11" spans="1:4" ht="30" customHeight="1">
      <c r="A11" s="3203" t="s">
        <v>940</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941</v>
      </c>
      <c r="B16" s="3197"/>
      <c r="C16" s="3197"/>
      <c r="D16" s="3197"/>
    </row>
    <row r="17" spans="1:4" ht="144" customHeight="1">
      <c r="A17" s="3197" t="s">
        <v>942</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943</v>
      </c>
      <c r="B22" s="3199"/>
      <c r="C22" s="3199"/>
      <c r="D22" s="3199"/>
    </row>
    <row r="23" spans="1:4">
      <c r="A23" s="1413"/>
      <c r="B23" s="459"/>
      <c r="C23" s="459"/>
      <c r="D23" s="459"/>
    </row>
    <row r="24" spans="1:4">
      <c r="A24" s="1413"/>
      <c r="B24" s="459"/>
      <c r="C24" s="459"/>
      <c r="D24" s="459"/>
    </row>
    <row r="25" spans="1:4" ht="17.399999999999999">
      <c r="A25" s="1414" t="s">
        <v>944</v>
      </c>
    </row>
    <row r="26" spans="1:4" ht="17.399999999999999">
      <c r="A26" s="1385"/>
    </row>
    <row r="27" spans="1:4" ht="17.399999999999999">
      <c r="A27" s="1385" t="s">
        <v>945</v>
      </c>
    </row>
    <row r="30" spans="1:4" ht="17.399999999999999">
      <c r="D30" s="1414" t="s">
        <v>946</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948</v>
      </c>
    </row>
    <row r="3" spans="1:7">
      <c r="A3" s="1418" t="s">
        <v>55</v>
      </c>
      <c r="B3" s="1403" t="s">
        <v>949</v>
      </c>
      <c r="G3" s="1419"/>
    </row>
    <row r="4" spans="1:7">
      <c r="G4" s="1419"/>
    </row>
    <row r="5" spans="1:7">
      <c r="A5" s="1421" t="s">
        <v>46</v>
      </c>
      <c r="B5" s="1403" t="s">
        <v>950</v>
      </c>
      <c r="G5" s="1419"/>
    </row>
    <row r="6" spans="1:7">
      <c r="G6" s="1419"/>
    </row>
    <row r="7" spans="1:7">
      <c r="A7" s="1422" t="s">
        <v>108</v>
      </c>
      <c r="B7" s="1403" t="s">
        <v>951</v>
      </c>
      <c r="G7" s="1419"/>
    </row>
    <row r="8" spans="1:7">
      <c r="G8" s="1419"/>
    </row>
    <row r="9" spans="1:7">
      <c r="A9" s="1423" t="s">
        <v>47</v>
      </c>
      <c r="B9" s="1403" t="s">
        <v>952</v>
      </c>
    </row>
    <row r="11" spans="1:7">
      <c r="A11" s="1424" t="s">
        <v>48</v>
      </c>
      <c r="B11" s="1425" t="s">
        <v>45</v>
      </c>
    </row>
    <row r="13" spans="1:7">
      <c r="A13" s="1426" t="s">
        <v>953</v>
      </c>
    </row>
    <row r="15" spans="1:7" ht="14.4">
      <c r="A15" s="3209" t="s">
        <v>954</v>
      </c>
      <c r="B15" s="3204" t="s">
        <v>109</v>
      </c>
      <c r="C15" s="3205"/>
    </row>
    <row r="16" spans="1:7" ht="14.4">
      <c r="A16" s="3210"/>
      <c r="B16" s="3204" t="s">
        <v>42</v>
      </c>
      <c r="C16" s="3205"/>
    </row>
    <row r="17" spans="1:3" ht="14.4">
      <c r="A17" s="3210"/>
      <c r="B17" s="3207" t="s">
        <v>955</v>
      </c>
      <c r="C17" s="1427" t="s">
        <v>954</v>
      </c>
    </row>
    <row r="18" spans="1:3" ht="14.4">
      <c r="A18" s="3210"/>
      <c r="B18" s="3207"/>
      <c r="C18" s="1427" t="s">
        <v>956</v>
      </c>
    </row>
    <row r="19" spans="1:3" ht="14.4">
      <c r="A19" s="3210"/>
      <c r="B19" s="3207"/>
      <c r="C19" s="1427" t="s">
        <v>957</v>
      </c>
    </row>
    <row r="20" spans="1:3" ht="14.4">
      <c r="A20" s="3211"/>
      <c r="B20" s="3206" t="s">
        <v>958</v>
      </c>
      <c r="C20" s="3205"/>
    </row>
    <row r="21" spans="1:3" ht="14.4">
      <c r="A21" s="1428" t="s">
        <v>959</v>
      </c>
      <c r="B21" s="1429"/>
      <c r="C21" s="1430"/>
    </row>
    <row r="22" spans="1:3" ht="14.4">
      <c r="A22" s="3208" t="s">
        <v>960</v>
      </c>
      <c r="B22" s="3206" t="s">
        <v>961</v>
      </c>
      <c r="C22" s="3205"/>
    </row>
    <row r="23" spans="1:3" ht="14.4">
      <c r="A23" s="3208"/>
      <c r="B23" s="3206" t="s">
        <v>962</v>
      </c>
      <c r="C23" s="3205"/>
    </row>
    <row r="24" spans="1:3" ht="14.4">
      <c r="A24" s="3208"/>
      <c r="B24" s="3206" t="s">
        <v>963</v>
      </c>
      <c r="C24" s="3205"/>
    </row>
    <row r="25" spans="1:3" ht="14.4">
      <c r="A25" s="3208"/>
      <c r="B25" s="3207" t="s">
        <v>964</v>
      </c>
      <c r="C25" s="1427" t="s">
        <v>965</v>
      </c>
    </row>
    <row r="26" spans="1:3" ht="14.4">
      <c r="A26" s="3208"/>
      <c r="B26" s="3207"/>
      <c r="C26" s="1427" t="s">
        <v>966</v>
      </c>
    </row>
    <row r="27" spans="1:3" ht="14.4">
      <c r="A27" s="3208"/>
      <c r="B27" s="3207"/>
      <c r="C27" s="1427" t="s">
        <v>967</v>
      </c>
    </row>
    <row r="28" spans="1:3" ht="14.4">
      <c r="A28" s="3208"/>
      <c r="B28" s="3207"/>
      <c r="C28" s="1427" t="s">
        <v>968</v>
      </c>
    </row>
    <row r="29" spans="1:3" ht="14.4">
      <c r="A29" s="3208"/>
      <c r="B29" s="3207"/>
      <c r="C29" s="1427" t="s">
        <v>969</v>
      </c>
    </row>
    <row r="30" spans="1:3" ht="14.4">
      <c r="A30" s="3208"/>
      <c r="B30" s="3207"/>
      <c r="C30" s="1427" t="s">
        <v>970</v>
      </c>
    </row>
    <row r="31" spans="1:3" ht="14.4">
      <c r="A31" s="3208"/>
      <c r="B31" s="3207"/>
      <c r="C31" s="1427" t="s">
        <v>971</v>
      </c>
    </row>
    <row r="32" spans="1:3" ht="14.4">
      <c r="A32" s="3208"/>
      <c r="B32" s="3207"/>
      <c r="C32" s="1427" t="s">
        <v>972</v>
      </c>
    </row>
    <row r="33" spans="1:3" ht="14.4">
      <c r="A33" s="3208"/>
      <c r="B33" s="3207"/>
      <c r="C33" s="1427" t="s">
        <v>973</v>
      </c>
    </row>
    <row r="34" spans="1:3">
      <c r="A34" s="1431" t="s">
        <v>49</v>
      </c>
    </row>
    <row r="37" spans="1:3">
      <c r="A37" s="1431" t="s">
        <v>974</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2136</v>
      </c>
      <c r="B2" s="2155">
        <f ca="1">TODAY()</f>
        <v>45790</v>
      </c>
      <c r="C2" s="2156" t="s">
        <v>2137</v>
      </c>
      <c r="D2" s="2156"/>
      <c r="E2" s="2156"/>
      <c r="F2" s="2152"/>
      <c r="G2" s="2152"/>
      <c r="H2" s="2152"/>
    </row>
    <row r="3" spans="1:8" ht="24" customHeight="1">
      <c r="A3" s="2157" t="s">
        <v>2138</v>
      </c>
      <c r="B3" s="1217" t="s">
        <v>2139</v>
      </c>
      <c r="C3" s="1217" t="s">
        <v>2140</v>
      </c>
      <c r="D3" s="2158" t="s">
        <v>2141</v>
      </c>
      <c r="E3" s="2159" t="s">
        <v>2142</v>
      </c>
      <c r="F3" s="1217" t="s">
        <v>2143</v>
      </c>
      <c r="G3" s="1217" t="s">
        <v>2140</v>
      </c>
      <c r="H3" s="2158" t="s">
        <v>2144</v>
      </c>
    </row>
    <row r="4" spans="1:8" ht="24" customHeight="1">
      <c r="A4" s="1217" t="s">
        <v>2145</v>
      </c>
      <c r="B4" s="1217">
        <f ca="1">IF(C4&lt;B2,"已过期",1119970066)</f>
        <v>1119970066</v>
      </c>
      <c r="C4" s="2160">
        <v>45937</v>
      </c>
      <c r="D4" s="2161" t="str">
        <f ca="1">A4&amp;"（注册号："&amp;B4&amp;"）"</f>
        <v>梁津（注册号：1119970066）</v>
      </c>
      <c r="E4" s="2162" t="s">
        <v>2145</v>
      </c>
      <c r="F4" s="1217">
        <f ca="1">IF(G4&lt;B2,"已过期",96010014)</f>
        <v>96010014</v>
      </c>
      <c r="G4" s="2163">
        <v>47118</v>
      </c>
      <c r="H4" s="2164" t="str">
        <f ca="1">E4&amp;"（注册号："&amp;F4&amp;"）"</f>
        <v>梁津（注册号：96010014）</v>
      </c>
    </row>
    <row r="5" spans="1:8" ht="24" customHeight="1">
      <c r="A5" s="1217" t="s">
        <v>2146</v>
      </c>
      <c r="B5" s="1217">
        <f ca="1">IF(C5&lt;B2,"已过期",1119970111)</f>
        <v>1119970111</v>
      </c>
      <c r="C5" s="2160">
        <v>45937</v>
      </c>
      <c r="D5" s="2161" t="str">
        <f t="shared" ref="D5:D15" ca="1" si="0">A5&amp;"（注册号："&amp;B5&amp;"）"</f>
        <v>叶凌（注册号：1119970111）</v>
      </c>
      <c r="E5" s="2162" t="s">
        <v>2146</v>
      </c>
      <c r="F5" s="1217">
        <f ca="1">IF(G5&lt;B2,"已过期",94010078)</f>
        <v>94010078</v>
      </c>
      <c r="G5" s="2163">
        <v>46387</v>
      </c>
      <c r="H5" s="2164" t="str">
        <f t="shared" ref="H5:H16" ca="1" si="1">E5&amp;"（注册号："&amp;F5&amp;"）"</f>
        <v>叶凌（注册号：94010078）</v>
      </c>
    </row>
    <row r="6" spans="1:8" ht="24" customHeight="1">
      <c r="A6" s="1217" t="s">
        <v>2147</v>
      </c>
      <c r="B6" s="1217" t="str">
        <f ca="1">IF(C6&lt;B2,"已过期",1120050019)</f>
        <v>已过期</v>
      </c>
      <c r="C6" s="2160">
        <v>45410</v>
      </c>
      <c r="D6" s="2161" t="str">
        <f t="shared" ca="1" si="0"/>
        <v>王鹏（注册号：已过期）</v>
      </c>
      <c r="E6" s="2162" t="s">
        <v>2147</v>
      </c>
      <c r="F6" s="1217">
        <f ca="1">IF(G6&lt;B2,"已过期",2002110030)</f>
        <v>2002110030</v>
      </c>
      <c r="G6" s="2163">
        <v>46387</v>
      </c>
      <c r="H6" s="2164" t="str">
        <f t="shared" ca="1" si="1"/>
        <v>王鹏（注册号：2002110030）</v>
      </c>
    </row>
    <row r="7" spans="1:8" ht="24" customHeight="1">
      <c r="A7" s="1217" t="s">
        <v>2148</v>
      </c>
      <c r="B7" s="1217">
        <f ca="1">IF(C7&lt;B2,"已过期",1120000080)</f>
        <v>1120000080</v>
      </c>
      <c r="C7" s="2160">
        <v>45937</v>
      </c>
      <c r="D7" s="2161" t="str">
        <f t="shared" ca="1" si="0"/>
        <v>欧红伟（注册号：1120000080）</v>
      </c>
      <c r="E7" s="2162" t="s">
        <v>2148</v>
      </c>
      <c r="F7" s="1217">
        <f ca="1">IF(G7&lt;B2,"已过期",2000110082)</f>
        <v>2000110082</v>
      </c>
      <c r="G7" s="2163">
        <v>46387</v>
      </c>
      <c r="H7" s="2164" t="str">
        <f t="shared" ca="1" si="1"/>
        <v>欧红伟（注册号：2000110082）</v>
      </c>
    </row>
    <row r="8" spans="1:8" ht="24" customHeight="1">
      <c r="A8" s="1217" t="s">
        <v>2149</v>
      </c>
      <c r="B8" s="1217">
        <f ca="1">IF(C8&lt;B2,"已过期",1419970001)</f>
        <v>1419970001</v>
      </c>
      <c r="C8" s="2160">
        <v>45937</v>
      </c>
      <c r="D8" s="2161" t="str">
        <f t="shared" ca="1" si="0"/>
        <v>吴薇（注册号：1419970001）</v>
      </c>
      <c r="E8" s="2162" t="s">
        <v>2149</v>
      </c>
      <c r="F8" s="1217">
        <f ca="1">IF(G8&lt;B2,"已过期",2002110125)</f>
        <v>2002110125</v>
      </c>
      <c r="G8" s="2163">
        <v>47118</v>
      </c>
      <c r="H8" s="2164" t="str">
        <f t="shared" ca="1" si="1"/>
        <v>吴薇（注册号：2002110125）</v>
      </c>
    </row>
    <row r="9" spans="1:8" ht="24" customHeight="1">
      <c r="A9" s="1217" t="s">
        <v>2150</v>
      </c>
      <c r="B9" s="1217" t="str">
        <f ca="1">IF(C9&lt;B2,"已过期",1120060040)</f>
        <v>已过期</v>
      </c>
      <c r="C9" s="2165">
        <v>45592</v>
      </c>
      <c r="D9" s="2161" t="str">
        <f t="shared" ca="1" si="0"/>
        <v>陈颖（注册号：已过期）</v>
      </c>
      <c r="E9" s="2162" t="s">
        <v>2150</v>
      </c>
      <c r="F9" s="1217">
        <f ca="1">IF(G9&lt;B2,"已过期",2004110096)</f>
        <v>2004110096</v>
      </c>
      <c r="G9" s="2163">
        <v>47118</v>
      </c>
      <c r="H9" s="2164" t="str">
        <f t="shared" ca="1" si="1"/>
        <v>陈颖（注册号：2004110096）</v>
      </c>
    </row>
    <row r="10" spans="1:8" ht="24" customHeight="1">
      <c r="A10" s="1217" t="s">
        <v>2151</v>
      </c>
      <c r="B10" s="1217" t="str">
        <f ca="1">IF(C10&lt;B2,"已过期",1120100036)</f>
        <v>已过期</v>
      </c>
      <c r="C10" s="2165">
        <v>45752</v>
      </c>
      <c r="D10" s="2161" t="str">
        <f t="shared" ca="1" si="0"/>
        <v>崔锴（注册号：已过期）</v>
      </c>
      <c r="E10" s="2162" t="s">
        <v>2151</v>
      </c>
      <c r="F10" s="1217">
        <f ca="1">IF(G10&lt;B2,"已过期",2010110070)</f>
        <v>2010110070</v>
      </c>
      <c r="G10" s="2163">
        <v>47907</v>
      </c>
      <c r="H10" s="2164" t="str">
        <f t="shared" ca="1" si="1"/>
        <v>崔锴（注册号：2010110070）</v>
      </c>
    </row>
    <row r="11" spans="1:8" ht="24" customHeight="1">
      <c r="A11" s="1217" t="s">
        <v>2152</v>
      </c>
      <c r="B11" s="1217">
        <f ca="1">IF(C11&lt;B2,"已过期",1120070131)</f>
        <v>1120070131</v>
      </c>
      <c r="C11" s="2160">
        <v>45937</v>
      </c>
      <c r="D11" s="2161" t="str">
        <f t="shared" ca="1" si="0"/>
        <v>郑燚（注册号：1120070131）</v>
      </c>
      <c r="E11" s="2162" t="s">
        <v>2152</v>
      </c>
      <c r="F11" s="1217">
        <f ca="1">IF(G11&lt;B2,"已过期",2014110011)</f>
        <v>2014110011</v>
      </c>
      <c r="G11" s="2163">
        <v>49302</v>
      </c>
      <c r="H11" s="2164" t="str">
        <f t="shared" ca="1" si="1"/>
        <v>郑燚（注册号：2014110011）</v>
      </c>
    </row>
    <row r="12" spans="1:8" ht="24" customHeight="1">
      <c r="A12" s="1217" t="s">
        <v>2153</v>
      </c>
      <c r="B12" s="1217">
        <f ca="1">IF(C12&lt;B2,"已过期",1120040230)</f>
        <v>1120040230</v>
      </c>
      <c r="C12" s="2165">
        <v>45937</v>
      </c>
      <c r="D12" s="2161" t="str">
        <f t="shared" ca="1" si="0"/>
        <v>苏海（注册号：1120040230）</v>
      </c>
      <c r="E12" s="2162" t="s">
        <v>2153</v>
      </c>
      <c r="F12" s="1217">
        <f ca="1">IF(G12&lt;B2,"已过期",98030020)</f>
        <v>98030020</v>
      </c>
      <c r="G12" s="2163">
        <v>47118</v>
      </c>
      <c r="H12" s="2164" t="str">
        <f t="shared" ca="1" si="1"/>
        <v>苏海（注册号：98030020）</v>
      </c>
    </row>
    <row r="13" spans="1:8" ht="24" customHeight="1">
      <c r="A13" s="1217" t="s">
        <v>2154</v>
      </c>
      <c r="B13" s="1217" t="str">
        <f ca="1">IF(C13&lt;B2,"已过期",1120020033)</f>
        <v>已过期</v>
      </c>
      <c r="C13" s="2160">
        <v>45375</v>
      </c>
      <c r="D13" s="2161" t="str">
        <f t="shared" ca="1" si="0"/>
        <v>刘敬东（注册号：已过期）</v>
      </c>
      <c r="E13" s="2162" t="s">
        <v>2154</v>
      </c>
      <c r="F13" s="1217">
        <f ca="1">IF(G13&lt;B2,"已过期",2000110137)</f>
        <v>2000110137</v>
      </c>
      <c r="G13" s="2163">
        <v>46387</v>
      </c>
      <c r="H13" s="2164" t="str">
        <f t="shared" ca="1" si="1"/>
        <v>刘敬东（注册号：2000110137）</v>
      </c>
    </row>
    <row r="14" spans="1:8" ht="24" customHeight="1">
      <c r="A14" s="1217" t="s">
        <v>2155</v>
      </c>
      <c r="B14" s="1217" t="str">
        <f ca="1">IF(C14&lt;B2,"已过期",1119980106)</f>
        <v>已过期</v>
      </c>
      <c r="C14" s="2165">
        <v>44969</v>
      </c>
      <c r="D14" s="2161" t="str">
        <f t="shared" ca="1" si="0"/>
        <v>刘俊财（注册号：已过期）</v>
      </c>
      <c r="E14" s="2162" t="s">
        <v>2155</v>
      </c>
      <c r="F14" s="1217">
        <f ca="1">IF(G14&lt;B2,"已过期",96010063)</f>
        <v>96010063</v>
      </c>
      <c r="G14" s="2163">
        <v>47483</v>
      </c>
      <c r="H14" s="2164" t="str">
        <f t="shared" ca="1" si="1"/>
        <v>刘俊财（注册号：96010063）</v>
      </c>
    </row>
    <row r="15" spans="1:8" ht="24" customHeight="1">
      <c r="A15" s="1217" t="s">
        <v>2434</v>
      </c>
      <c r="B15" s="1217">
        <v>1120210056</v>
      </c>
      <c r="C15" s="2165">
        <v>45410</v>
      </c>
      <c r="D15" s="2161" t="str">
        <f t="shared" si="0"/>
        <v>宁小鳗（注册号：1120210056）</v>
      </c>
      <c r="E15" s="2162" t="s">
        <v>2156</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2" t="s">
        <v>2157</v>
      </c>
      <c r="B17" s="3212"/>
      <c r="C17" s="3212"/>
      <c r="D17" s="3212"/>
      <c r="E17" s="3212"/>
      <c r="F17" s="3212"/>
      <c r="G17" s="3212"/>
      <c r="H17" s="3212"/>
    </row>
    <row r="18" spans="1:8" ht="24" customHeight="1">
      <c r="A18" s="3213" t="s">
        <v>2158</v>
      </c>
      <c r="B18" s="3213"/>
      <c r="C18" s="3213"/>
      <c r="D18" s="2158"/>
      <c r="E18" s="3214" t="s">
        <v>2159</v>
      </c>
      <c r="F18" s="3213"/>
      <c r="G18" s="3213"/>
    </row>
    <row r="19" spans="1:8" s="2168" customFormat="1" ht="24" customHeight="1">
      <c r="A19" s="2167" t="s">
        <v>2160</v>
      </c>
      <c r="B19" s="1217" t="s">
        <v>2161</v>
      </c>
      <c r="C19" s="1217" t="s">
        <v>2140</v>
      </c>
      <c r="D19" s="2158"/>
      <c r="E19" s="2162" t="s">
        <v>2160</v>
      </c>
      <c r="F19" s="1217" t="s">
        <v>2161</v>
      </c>
      <c r="G19" s="1217" t="s">
        <v>2140</v>
      </c>
    </row>
    <row r="20" spans="1:8" s="2168" customFormat="1" ht="24" customHeight="1">
      <c r="A20" s="2169" t="s">
        <v>2162</v>
      </c>
      <c r="B20" s="2169" t="s">
        <v>2163</v>
      </c>
      <c r="C20" s="2163">
        <v>45898</v>
      </c>
      <c r="D20" s="2170"/>
      <c r="E20" s="2171" t="s">
        <v>2164</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收益法（12号楼）</vt:lpstr>
      <vt:lpstr>收益法 (元)</vt:lpstr>
      <vt:lpstr>收益法-酒店模型</vt:lpstr>
      <vt:lpstr>典型户型修正</vt:lpstr>
      <vt:lpstr>结果表(13号楼净值)</vt:lpstr>
      <vt:lpstr>成本法</vt:lpstr>
      <vt:lpstr>基准地价修正</vt:lpstr>
      <vt:lpstr>收益法(13号楼)</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'结果表(13号楼净值)'!Print_Area</vt:lpstr>
      <vt:lpstr>'收益法 (元)'!Print_Area</vt:lpstr>
      <vt:lpstr>'收益法（12号楼）'!Print_Area</vt:lpstr>
      <vt:lpstr>'收益法(13号楼)'!Print_Area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2025-05-13T07:16:12Z</dcterms:modified>
</cp:coreProperties>
</file>