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79" l="1"/>
  <c r="F105" i="34" l="1"/>
  <c r="G105" i="34" s="1"/>
  <c r="H105" i="34" s="1"/>
  <c r="F104" i="34"/>
  <c r="G104" i="34" s="1"/>
  <c r="E104" i="34"/>
  <c r="E105" i="34"/>
  <c r="M49" i="34"/>
  <c r="M51" i="34" l="1"/>
  <c r="M50" i="34"/>
  <c r="D105" i="34" l="1"/>
  <c r="I34" i="79" l="1"/>
  <c r="I33" i="79"/>
  <c r="I32" i="79"/>
  <c r="I30" i="79"/>
  <c r="I28" i="79"/>
  <c r="I20" i="79"/>
  <c r="I11" i="79"/>
  <c r="I6" i="79"/>
  <c r="I4" i="79"/>
  <c r="I3" i="79"/>
  <c r="I2" i="79"/>
  <c r="I35" i="79" s="1"/>
  <c r="M16" i="79" l="1"/>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C14" i="3"/>
  <c r="C15" i="3"/>
  <c r="C13" i="3"/>
  <c r="K7" i="79"/>
  <c r="K5" i="79"/>
  <c r="I13" i="3" s="1"/>
  <c r="F35" i="79"/>
  <c r="K6" i="79" s="1"/>
  <c r="I14" i="3" s="1"/>
  <c r="K8" i="79" l="1"/>
  <c r="P15" i="79"/>
  <c r="P16" i="79" s="1"/>
  <c r="L5" i="79"/>
  <c r="D3" i="4"/>
  <c r="M17" i="79" l="1"/>
  <c r="M18" i="79"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R25" i="77" l="1"/>
  <c r="C32" i="77"/>
  <c r="C38" i="77" s="1"/>
  <c r="C39" i="77" s="1"/>
  <c r="R19" i="77"/>
  <c r="E26" i="77"/>
  <c r="E38" i="77"/>
  <c r="E39" i="77" s="1"/>
  <c r="E29" i="77"/>
  <c r="AH7" i="71"/>
  <c r="AG7" i="71"/>
  <c r="AE7" i="71"/>
  <c r="AF7" i="71" s="1"/>
  <c r="AD7" i="71"/>
  <c r="Q7" i="71"/>
  <c r="P7" i="71"/>
  <c r="O7" i="71"/>
  <c r="N7" i="71"/>
  <c r="C40" i="77" l="1"/>
  <c r="B2" i="77" s="1"/>
  <c r="B3" i="77" s="1"/>
  <c r="R5" i="77"/>
  <c r="U5" i="77" s="1"/>
  <c r="E32" i="77"/>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B19" i="71" s="1"/>
  <c r="Q21" i="71"/>
  <c r="P21" i="71"/>
  <c r="E21" i="71" s="1"/>
  <c r="O21" i="71"/>
  <c r="C21" i="71" s="1"/>
  <c r="C20" i="71" s="1"/>
  <c r="Q22" i="71"/>
  <c r="P22" i="71"/>
  <c r="O22" i="71"/>
  <c r="N22" i="71"/>
  <c r="A2" i="53"/>
  <c r="B19" i="72" s="1"/>
  <c r="K59" i="67"/>
  <c r="P74" i="67" s="1"/>
  <c r="P61" i="67"/>
  <c r="K59" i="15"/>
  <c r="P74" i="15" s="1"/>
  <c r="D115" i="39"/>
  <c r="E115" i="39"/>
  <c r="F115" i="39"/>
  <c r="G115" i="39"/>
  <c r="H115" i="39"/>
  <c r="I115" i="39"/>
  <c r="J115" i="39"/>
  <c r="K115" i="39"/>
  <c r="L115" i="39"/>
  <c r="M115" i="39"/>
  <c r="C115" i="39"/>
  <c r="A21" i="62"/>
  <c r="B67" i="72" s="1"/>
  <c r="A20" i="62"/>
  <c r="B66" i="72" s="1"/>
  <c r="A22" i="51"/>
  <c r="B17" i="72" s="1"/>
  <c r="A21" i="51"/>
  <c r="B16" i="72" s="1"/>
  <c r="A20" i="51"/>
  <c r="A15" i="62"/>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0" i="43" s="1"/>
  <c r="AF9" i="43"/>
  <c r="AE9" i="43"/>
  <c r="AD9" i="43"/>
  <c r="AC9" i="43"/>
  <c r="AC12" i="43" s="1"/>
  <c r="AB9" i="43"/>
  <c r="AA9" i="43"/>
  <c r="AA12" i="43" s="1"/>
  <c r="Z9" i="43"/>
  <c r="Z10" i="43" s="1"/>
  <c r="AJ10" i="43"/>
  <c r="K49" i="9"/>
  <c r="E107" i="9"/>
  <c r="A122" i="9"/>
  <c r="A8" i="52" s="1"/>
  <c r="B54" i="72" s="1"/>
  <c r="E111" i="9"/>
  <c r="A126" i="9"/>
  <c r="E109" i="9"/>
  <c r="A124" i="9"/>
  <c r="B44" i="72"/>
  <c r="B42" i="72"/>
  <c r="B69" i="72"/>
  <c r="B68" i="72"/>
  <c r="B63" i="72"/>
  <c r="B62"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C80" i="71" s="1"/>
  <c r="C79" i="71" s="1"/>
  <c r="D79" i="71" s="1"/>
  <c r="B81" i="71"/>
  <c r="B80" i="71" s="1"/>
  <c r="B79" i="71" s="1"/>
  <c r="D78" i="71"/>
  <c r="Q77" i="71"/>
  <c r="P77" i="71"/>
  <c r="O77" i="71"/>
  <c r="N77" i="71"/>
  <c r="F77" i="71"/>
  <c r="E77" i="71"/>
  <c r="U77" i="71" s="1"/>
  <c r="C77" i="71"/>
  <c r="C76" i="71" s="1"/>
  <c r="T77" i="71"/>
  <c r="B77" i="71"/>
  <c r="Q76" i="71"/>
  <c r="P76" i="71"/>
  <c r="O76" i="71"/>
  <c r="N76" i="71"/>
  <c r="Q75" i="71"/>
  <c r="P75" i="71"/>
  <c r="O75" i="71"/>
  <c r="N75" i="71"/>
  <c r="Q74" i="71"/>
  <c r="P74" i="71"/>
  <c r="O74" i="71"/>
  <c r="N74" i="71"/>
  <c r="D74" i="71"/>
  <c r="Q73" i="71"/>
  <c r="P73" i="71"/>
  <c r="O73" i="71"/>
  <c r="N73" i="71"/>
  <c r="F73" i="71"/>
  <c r="F72" i="71" s="1"/>
  <c r="F71" i="71" s="1"/>
  <c r="E73" i="71"/>
  <c r="E72" i="71" s="1"/>
  <c r="E71" i="71" s="1"/>
  <c r="U73" i="71"/>
  <c r="C73" i="71"/>
  <c r="C72" i="71" s="1"/>
  <c r="T73" i="71"/>
  <c r="B73" i="71"/>
  <c r="Q72" i="71"/>
  <c r="P72" i="71"/>
  <c r="O72" i="71"/>
  <c r="N72" i="71"/>
  <c r="Q71" i="71"/>
  <c r="P71" i="71"/>
  <c r="O71" i="71"/>
  <c r="N71" i="71"/>
  <c r="Q70" i="71"/>
  <c r="P70" i="71"/>
  <c r="O70" i="71"/>
  <c r="N70" i="71"/>
  <c r="D70" i="71"/>
  <c r="Q69" i="71"/>
  <c r="P69" i="71"/>
  <c r="O69" i="71"/>
  <c r="N69" i="71"/>
  <c r="F69" i="71"/>
  <c r="V69" i="71" s="1"/>
  <c r="E69" i="71"/>
  <c r="E68" i="71" s="1"/>
  <c r="E67" i="71" s="1"/>
  <c r="U69" i="71"/>
  <c r="C69" i="71"/>
  <c r="T69" i="71" s="1"/>
  <c r="B69" i="71"/>
  <c r="S69" i="71" s="1"/>
  <c r="Q68" i="71"/>
  <c r="P68" i="71"/>
  <c r="O68" i="71"/>
  <c r="N68" i="71"/>
  <c r="F68" i="71"/>
  <c r="F67" i="71"/>
  <c r="Q67" i="71"/>
  <c r="P67" i="71"/>
  <c r="O67" i="71"/>
  <c r="N67" i="71"/>
  <c r="Q66" i="71"/>
  <c r="P66" i="71"/>
  <c r="O66" i="71"/>
  <c r="N66" i="71"/>
  <c r="D66" i="71"/>
  <c r="F65" i="71"/>
  <c r="E65" i="71"/>
  <c r="C65" i="71"/>
  <c r="B65" i="71"/>
  <c r="D62" i="71"/>
  <c r="Q61" i="71"/>
  <c r="P61" i="71"/>
  <c r="O61" i="71"/>
  <c r="N61" i="71"/>
  <c r="Q60" i="71"/>
  <c r="P60" i="71"/>
  <c r="O60" i="71"/>
  <c r="N60" i="71"/>
  <c r="Q59" i="71"/>
  <c r="P59" i="71"/>
  <c r="O59" i="71"/>
  <c r="N59" i="71"/>
  <c r="Q58" i="71"/>
  <c r="F59" i="71"/>
  <c r="P58" i="71"/>
  <c r="E59" i="71" s="1"/>
  <c r="O58" i="71"/>
  <c r="C59" i="71" s="1"/>
  <c r="N58" i="71"/>
  <c r="B59" i="71"/>
  <c r="D58" i="71"/>
  <c r="Q57" i="71"/>
  <c r="P57" i="71"/>
  <c r="O57" i="71"/>
  <c r="N57" i="71"/>
  <c r="Q56" i="71"/>
  <c r="P56" i="71"/>
  <c r="O56" i="71"/>
  <c r="N56" i="71"/>
  <c r="Q55" i="71"/>
  <c r="P55" i="71"/>
  <c r="O55" i="71"/>
  <c r="N55" i="71"/>
  <c r="Q54" i="71"/>
  <c r="F55" i="71" s="1"/>
  <c r="F56" i="71" s="1"/>
  <c r="F57" i="71" s="1"/>
  <c r="V57" i="71" s="1"/>
  <c r="P54" i="71"/>
  <c r="E55" i="71"/>
  <c r="O54" i="71"/>
  <c r="C55" i="71" s="1"/>
  <c r="D55" i="71" s="1"/>
  <c r="N54" i="71"/>
  <c r="B55"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c r="P46" i="71"/>
  <c r="E47" i="71"/>
  <c r="O46" i="71"/>
  <c r="C47" i="71"/>
  <c r="D47" i="71" s="1"/>
  <c r="N46" i="71"/>
  <c r="B47" i="71" s="1"/>
  <c r="B48" i="71" s="1"/>
  <c r="B49" i="71" s="1"/>
  <c r="S49" i="71" s="1"/>
  <c r="D46" i="71"/>
  <c r="T45" i="71"/>
  <c r="Q45" i="71"/>
  <c r="P45" i="71"/>
  <c r="O45" i="71"/>
  <c r="N45" i="71"/>
  <c r="D45" i="71"/>
  <c r="Q44" i="71"/>
  <c r="P44" i="71"/>
  <c r="O44" i="71"/>
  <c r="N44" i="71"/>
  <c r="Q43" i="71"/>
  <c r="P43" i="71"/>
  <c r="O43" i="71"/>
  <c r="N43" i="71"/>
  <c r="Q42" i="71"/>
  <c r="F43" i="71" s="1"/>
  <c r="P42" i="71"/>
  <c r="E43" i="71" s="1"/>
  <c r="O42" i="71"/>
  <c r="C43" i="71" s="1"/>
  <c r="D43" i="71" s="1"/>
  <c r="N42" i="71"/>
  <c r="B43" i="71" s="1"/>
  <c r="D42" i="71"/>
  <c r="Q41" i="71"/>
  <c r="P41" i="71"/>
  <c r="O41" i="71"/>
  <c r="N41" i="71"/>
  <c r="Q40" i="71"/>
  <c r="P40" i="71"/>
  <c r="O40" i="71"/>
  <c r="N40" i="71"/>
  <c r="Q39" i="71"/>
  <c r="P39" i="71"/>
  <c r="O39" i="71"/>
  <c r="N39" i="71"/>
  <c r="Q38" i="71"/>
  <c r="F39" i="71" s="1"/>
  <c r="P38" i="71"/>
  <c r="E39" i="71"/>
  <c r="O38" i="71"/>
  <c r="C39" i="71"/>
  <c r="N38" i="71"/>
  <c r="B39" i="71" s="1"/>
  <c r="D38" i="71"/>
  <c r="Q37" i="71"/>
  <c r="P37" i="71"/>
  <c r="O37" i="71"/>
  <c r="N37" i="71"/>
  <c r="Q36" i="71"/>
  <c r="AB36" i="71" s="1"/>
  <c r="P36" i="71"/>
  <c r="AA36" i="71"/>
  <c r="O36" i="71"/>
  <c r="Y36" i="71" s="1"/>
  <c r="Z36" i="71" s="1"/>
  <c r="N36" i="71"/>
  <c r="X36" i="71"/>
  <c r="Q35" i="71"/>
  <c r="P35" i="71"/>
  <c r="O35" i="71"/>
  <c r="Y35" i="71"/>
  <c r="Z35" i="71" s="1"/>
  <c r="N35" i="71"/>
  <c r="Q34" i="71"/>
  <c r="F35" i="71" s="1"/>
  <c r="F36" i="71" s="1"/>
  <c r="F37" i="71" s="1"/>
  <c r="V37" i="71" s="1"/>
  <c r="P34" i="71"/>
  <c r="O34" i="71"/>
  <c r="N34" i="71"/>
  <c r="B35" i="71" s="1"/>
  <c r="B36" i="71" s="1"/>
  <c r="D34" i="71"/>
  <c r="Q33" i="71"/>
  <c r="P33" i="71"/>
  <c r="O33" i="71"/>
  <c r="N33" i="71"/>
  <c r="Q32" i="71"/>
  <c r="P32" i="71"/>
  <c r="O32" i="71"/>
  <c r="N32" i="71"/>
  <c r="Q31" i="71"/>
  <c r="P31" i="71"/>
  <c r="O31" i="71"/>
  <c r="N31" i="71"/>
  <c r="Q30" i="71"/>
  <c r="P30" i="71"/>
  <c r="O30" i="71"/>
  <c r="C31" i="71" s="1"/>
  <c r="D31" i="71" s="1"/>
  <c r="N30" i="71"/>
  <c r="B31" i="71" s="1"/>
  <c r="B32" i="71" s="1"/>
  <c r="B33" i="71" s="1"/>
  <c r="S33" i="71" s="1"/>
  <c r="D30" i="71"/>
  <c r="Q29" i="71"/>
  <c r="P29" i="71"/>
  <c r="O29" i="71"/>
  <c r="N29" i="71"/>
  <c r="Q28" i="71"/>
  <c r="P28" i="71"/>
  <c r="O28" i="71"/>
  <c r="N28" i="71"/>
  <c r="X27" i="71" s="1"/>
  <c r="Q27" i="71"/>
  <c r="P27" i="71"/>
  <c r="O27" i="71"/>
  <c r="N27" i="71"/>
  <c r="Q26" i="71"/>
  <c r="F27" i="71" s="1"/>
  <c r="P26" i="71"/>
  <c r="E27" i="71" s="1"/>
  <c r="O26" i="71"/>
  <c r="N26" i="71"/>
  <c r="D26" i="71"/>
  <c r="O25" i="71"/>
  <c r="C25" i="71" s="1"/>
  <c r="N25" i="71"/>
  <c r="N65" i="71"/>
  <c r="E31" i="71"/>
  <c r="B25" i="71"/>
  <c r="S25" i="71" s="1"/>
  <c r="P25" i="71"/>
  <c r="E25" i="71" s="1"/>
  <c r="Q25" i="71"/>
  <c r="F25" i="71" s="1"/>
  <c r="F24" i="71" s="1"/>
  <c r="F23" i="71" s="1"/>
  <c r="E76" i="71"/>
  <c r="E75" i="71" s="1"/>
  <c r="D77" i="71"/>
  <c r="C84" i="71"/>
  <c r="D8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U18" i="36" s="1"/>
  <c r="F18" i="36"/>
  <c r="C18" i="36"/>
  <c r="Q18" i="35"/>
  <c r="Z18" i="35" s="1"/>
  <c r="D68" i="35"/>
  <c r="E68" i="35" s="1"/>
  <c r="F68" i="35" s="1"/>
  <c r="G68" i="35" s="1"/>
  <c r="F18" i="35"/>
  <c r="S18" i="35" s="1"/>
  <c r="AA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E83" i="21" s="1"/>
  <c r="F83" i="21" s="1"/>
  <c r="G83" i="21" s="1"/>
  <c r="F21" i="21"/>
  <c r="AA21" i="21" s="1"/>
  <c r="D81" i="21"/>
  <c r="G20" i="20"/>
  <c r="C22" i="20"/>
  <c r="B66" i="43"/>
  <c r="C29" i="39"/>
  <c r="H25" i="40"/>
  <c r="J25" i="40"/>
  <c r="H29" i="39"/>
  <c r="AB29" i="39" s="1"/>
  <c r="J29" i="39"/>
  <c r="AC29" i="39" s="1"/>
  <c r="J18" i="36"/>
  <c r="H18" i="35"/>
  <c r="AB18" i="35" s="1"/>
  <c r="J18" i="35"/>
  <c r="AC18" i="35" s="1"/>
  <c r="F77" i="37"/>
  <c r="G77" i="37" s="1"/>
  <c r="H21" i="37"/>
  <c r="F21" i="37"/>
  <c r="AA21" i="37" s="1"/>
  <c r="H21" i="34"/>
  <c r="AB21" i="34" s="1"/>
  <c r="H21" i="33"/>
  <c r="U21" i="33" s="1"/>
  <c r="F21" i="33"/>
  <c r="S21" i="21"/>
  <c r="H1" i="69"/>
  <c r="AB25" i="40"/>
  <c r="U25" i="40"/>
  <c r="J21" i="37"/>
  <c r="W21" i="37" s="1"/>
  <c r="J21" i="34"/>
  <c r="AC21" i="34" s="1"/>
  <c r="J21" i="33"/>
  <c r="H21" i="21"/>
  <c r="F38" i="69"/>
  <c r="E37" i="69"/>
  <c r="F36" i="69"/>
  <c r="F35" i="69"/>
  <c r="F21" i="69"/>
  <c r="F40" i="69" s="1"/>
  <c r="F20" i="69"/>
  <c r="F39" i="69" s="1"/>
  <c r="E10" i="69"/>
  <c r="E9" i="69"/>
  <c r="J21" i="21"/>
  <c r="C40" i="69"/>
  <c r="F38" i="68"/>
  <c r="E37" i="68"/>
  <c r="F36" i="68"/>
  <c r="F35" i="68"/>
  <c r="F21" i="68"/>
  <c r="F40" i="68" s="1"/>
  <c r="F20" i="68"/>
  <c r="F39" i="68" s="1"/>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D1" i="43"/>
  <c r="F113" i="43"/>
  <c r="N99" i="43"/>
  <c r="D99" i="43"/>
  <c r="E99" i="43"/>
  <c r="F99" i="43"/>
  <c r="F108" i="43" s="1"/>
  <c r="G99" i="43"/>
  <c r="G108" i="43" s="1"/>
  <c r="H99" i="43"/>
  <c r="H108" i="43" s="1"/>
  <c r="I99" i="43"/>
  <c r="J99" i="43"/>
  <c r="J108" i="43" s="1"/>
  <c r="K99" i="43"/>
  <c r="L99" i="43"/>
  <c r="M99" i="43"/>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s="1"/>
  <c r="K77" i="43"/>
  <c r="J77" i="43"/>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s="1"/>
  <c r="M65" i="43"/>
  <c r="N65" i="43" s="1"/>
  <c r="K65" i="43"/>
  <c r="J65" i="43"/>
  <c r="M64" i="43"/>
  <c r="N64" i="43" s="1"/>
  <c r="K64" i="43"/>
  <c r="J64" i="43" s="1"/>
  <c r="M63" i="43"/>
  <c r="N63" i="43" s="1"/>
  <c r="K63" i="43"/>
  <c r="J63" i="43" s="1"/>
  <c r="M62" i="43"/>
  <c r="N62" i="43"/>
  <c r="K62" i="43"/>
  <c r="J62" i="43" s="1"/>
  <c r="M61" i="43"/>
  <c r="N61" i="43" s="1"/>
  <c r="K61" i="43"/>
  <c r="J61" i="43" s="1"/>
  <c r="M60" i="43"/>
  <c r="N60" i="43" s="1"/>
  <c r="K60" i="43"/>
  <c r="J60" i="43" s="1"/>
  <c r="M59" i="43"/>
  <c r="N59" i="43"/>
  <c r="K59" i="43"/>
  <c r="J59" i="43"/>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c r="D52" i="43"/>
  <c r="M51" i="43"/>
  <c r="N51" i="43" s="1"/>
  <c r="K51" i="43"/>
  <c r="J51" i="43" s="1"/>
  <c r="D51" i="43"/>
  <c r="M50" i="43"/>
  <c r="N50" i="43" s="1"/>
  <c r="K50" i="43"/>
  <c r="J50" i="43" s="1"/>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G13" i="1" s="1"/>
  <c r="D6" i="1"/>
  <c r="D9" i="1"/>
  <c r="D10" i="1"/>
  <c r="D11" i="1"/>
  <c r="D12" i="1"/>
  <c r="D13" i="1"/>
  <c r="D7" i="1"/>
  <c r="D8" i="1"/>
  <c r="A7" i="1"/>
  <c r="A8" i="1"/>
  <c r="A9" i="1"/>
  <c r="A10" i="1"/>
  <c r="K10" i="1" s="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A51" i="3" s="1"/>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A368" i="3" s="1"/>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L317" i="3" s="1"/>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A460" i="3" s="1"/>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S30" i="31" s="1"/>
  <c r="R31" i="31"/>
  <c r="R32" i="31"/>
  <c r="S32" i="31" s="1"/>
  <c r="R33" i="31"/>
  <c r="R34" i="31"/>
  <c r="S34" i="31" s="1"/>
  <c r="R35" i="31"/>
  <c r="S35" i="31" s="1"/>
  <c r="R36" i="31"/>
  <c r="R37" i="31"/>
  <c r="S37" i="31" s="1"/>
  <c r="R38" i="31"/>
  <c r="S38" i="31" s="1"/>
  <c r="R39" i="31"/>
  <c r="R40" i="31"/>
  <c r="R41" i="31"/>
  <c r="R42" i="31"/>
  <c r="R43" i="31"/>
  <c r="S43" i="31" s="1"/>
  <c r="R44" i="31"/>
  <c r="R45" i="31"/>
  <c r="S45" i="31" s="1"/>
  <c r="R46" i="31"/>
  <c r="S46" i="31" s="1"/>
  <c r="R47" i="31"/>
  <c r="R48" i="31"/>
  <c r="S48" i="31" s="1"/>
  <c r="R49" i="31"/>
  <c r="R50" i="31"/>
  <c r="R51" i="31"/>
  <c r="R52" i="31"/>
  <c r="R53" i="31"/>
  <c r="S53" i="31" s="1"/>
  <c r="R54" i="31"/>
  <c r="S54" i="31" s="1"/>
  <c r="R55" i="31"/>
  <c r="R56" i="31"/>
  <c r="R57" i="31"/>
  <c r="R58" i="31"/>
  <c r="R59" i="31"/>
  <c r="R60" i="31"/>
  <c r="R61" i="31"/>
  <c r="R62" i="31"/>
  <c r="S62" i="31" s="1"/>
  <c r="R63" i="31"/>
  <c r="S63" i="31" s="1"/>
  <c r="R64" i="31"/>
  <c r="R65" i="31"/>
  <c r="R66" i="31"/>
  <c r="R67" i="31"/>
  <c r="R68" i="31"/>
  <c r="R69" i="31"/>
  <c r="R70" i="31"/>
  <c r="S70" i="31" s="1"/>
  <c r="R71" i="31"/>
  <c r="R72" i="31"/>
  <c r="S72" i="31" s="1"/>
  <c r="R73" i="31"/>
  <c r="R74" i="31"/>
  <c r="R75" i="31"/>
  <c r="R76" i="31"/>
  <c r="R77" i="31"/>
  <c r="R78" i="31"/>
  <c r="S78" i="31" s="1"/>
  <c r="R79" i="31"/>
  <c r="R80" i="31"/>
  <c r="R81" i="31"/>
  <c r="R82" i="31"/>
  <c r="R83" i="31"/>
  <c r="S83" i="31" s="1"/>
  <c r="R84" i="31"/>
  <c r="R85" i="31"/>
  <c r="S85" i="31" s="1"/>
  <c r="R86" i="31"/>
  <c r="S86" i="31" s="1"/>
  <c r="R87" i="31"/>
  <c r="S87" i="31" s="1"/>
  <c r="R88" i="31"/>
  <c r="R89" i="31"/>
  <c r="R90" i="31"/>
  <c r="R91" i="31"/>
  <c r="S91" i="31" s="1"/>
  <c r="R92" i="31"/>
  <c r="R93" i="31"/>
  <c r="S93" i="31" s="1"/>
  <c r="R94" i="31"/>
  <c r="S94" i="31" s="1"/>
  <c r="R95" i="31"/>
  <c r="R96" i="31"/>
  <c r="S96" i="31" s="1"/>
  <c r="R97" i="31"/>
  <c r="R98" i="31"/>
  <c r="S98" i="31" s="1"/>
  <c r="R99" i="31"/>
  <c r="S99" i="31" s="1"/>
  <c r="R100" i="31"/>
  <c r="R101" i="31"/>
  <c r="S101" i="31" s="1"/>
  <c r="R102" i="31"/>
  <c r="R103" i="31"/>
  <c r="R104" i="31"/>
  <c r="R105" i="31"/>
  <c r="R106" i="31"/>
  <c r="R107" i="31"/>
  <c r="S107" i="31" s="1"/>
  <c r="R108" i="31"/>
  <c r="R109" i="31"/>
  <c r="S109" i="31" s="1"/>
  <c r="R110" i="31"/>
  <c r="S110" i="31" s="1"/>
  <c r="R111" i="31"/>
  <c r="S111" i="31" s="1"/>
  <c r="R112" i="31"/>
  <c r="R113" i="31"/>
  <c r="S113" i="31" s="1"/>
  <c r="R114" i="31"/>
  <c r="R115" i="31"/>
  <c r="R116" i="31"/>
  <c r="R117" i="31"/>
  <c r="R118" i="31"/>
  <c r="S118" i="31" s="1"/>
  <c r="R119" i="31"/>
  <c r="R120" i="31"/>
  <c r="S120" i="31" s="1"/>
  <c r="R121" i="31"/>
  <c r="R122" i="31"/>
  <c r="S122" i="31" s="1"/>
  <c r="R123" i="31"/>
  <c r="R124" i="31"/>
  <c r="R125" i="31"/>
  <c r="R126" i="31"/>
  <c r="R127" i="31"/>
  <c r="S127" i="31" s="1"/>
  <c r="R128" i="31"/>
  <c r="R129" i="31"/>
  <c r="R130" i="31"/>
  <c r="R131" i="31"/>
  <c r="R132" i="31"/>
  <c r="R133" i="31"/>
  <c r="R134" i="31"/>
  <c r="R135" i="31"/>
  <c r="S135" i="31" s="1"/>
  <c r="R136" i="31"/>
  <c r="R137" i="31"/>
  <c r="R138" i="31"/>
  <c r="R139" i="31"/>
  <c r="R140" i="31"/>
  <c r="R141" i="31"/>
  <c r="R142" i="31"/>
  <c r="R143" i="31"/>
  <c r="S143" i="31" s="1"/>
  <c r="R144" i="31"/>
  <c r="R145" i="31"/>
  <c r="R146" i="31"/>
  <c r="R147" i="31"/>
  <c r="R148" i="31"/>
  <c r="R149" i="31"/>
  <c r="R150" i="31"/>
  <c r="R151" i="31"/>
  <c r="S151" i="31" s="1"/>
  <c r="R152" i="31"/>
  <c r="R153" i="31"/>
  <c r="R154" i="31"/>
  <c r="R155" i="31"/>
  <c r="R156" i="31"/>
  <c r="R157" i="31"/>
  <c r="R158" i="31"/>
  <c r="R159" i="31"/>
  <c r="S159" i="31" s="1"/>
  <c r="R160" i="31"/>
  <c r="S160" i="31" s="1"/>
  <c r="R161" i="31"/>
  <c r="R162" i="31"/>
  <c r="R163" i="31"/>
  <c r="R164" i="31"/>
  <c r="R165" i="31"/>
  <c r="R166" i="31"/>
  <c r="R167" i="31"/>
  <c r="R168" i="31"/>
  <c r="S168" i="31" s="1"/>
  <c r="R169" i="31"/>
  <c r="S169" i="31" s="1"/>
  <c r="R170" i="31"/>
  <c r="R171" i="31"/>
  <c r="R172" i="31"/>
  <c r="R173" i="31"/>
  <c r="R174" i="31"/>
  <c r="R175" i="31"/>
  <c r="R176" i="31"/>
  <c r="S176" i="31" s="1"/>
  <c r="R177" i="31"/>
  <c r="R178" i="31"/>
  <c r="S178" i="31" s="1"/>
  <c r="R179" i="31"/>
  <c r="R180" i="31"/>
  <c r="R181" i="31"/>
  <c r="R182" i="31"/>
  <c r="R183" i="31"/>
  <c r="R184" i="31"/>
  <c r="S184" i="31" s="1"/>
  <c r="R185" i="31"/>
  <c r="S185" i="31" s="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R211" i="31"/>
  <c r="R212" i="31"/>
  <c r="R213" i="31"/>
  <c r="R214" i="31"/>
  <c r="R215" i="31"/>
  <c r="R216" i="31"/>
  <c r="S216" i="31" s="1"/>
  <c r="R217" i="31"/>
  <c r="R218" i="31"/>
  <c r="R219" i="31"/>
  <c r="R220" i="31"/>
  <c r="R221" i="31"/>
  <c r="R222" i="31"/>
  <c r="R223" i="31"/>
  <c r="R224" i="31"/>
  <c r="R225" i="31"/>
  <c r="R226" i="31"/>
  <c r="R227" i="31"/>
  <c r="S227" i="31" s="1"/>
  <c r="R228" i="31"/>
  <c r="R229" i="31"/>
  <c r="S229" i="31" s="1"/>
  <c r="R230" i="31"/>
  <c r="S230" i="31" s="1"/>
  <c r="R231" i="31"/>
  <c r="S231" i="31" s="1"/>
  <c r="R232" i="31"/>
  <c r="S232" i="31" s="1"/>
  <c r="R233" i="31"/>
  <c r="R234" i="31"/>
  <c r="R235" i="31"/>
  <c r="R236" i="31"/>
  <c r="R237" i="31"/>
  <c r="S237" i="31" s="1"/>
  <c r="R238" i="31"/>
  <c r="S238" i="31" s="1"/>
  <c r="R239" i="31"/>
  <c r="R240" i="31"/>
  <c r="S240" i="31" s="1"/>
  <c r="R241" i="31"/>
  <c r="S241" i="31" s="1"/>
  <c r="R242" i="31"/>
  <c r="R243" i="31"/>
  <c r="R244" i="31"/>
  <c r="R245" i="31"/>
  <c r="S245" i="31" s="1"/>
  <c r="R246" i="31"/>
  <c r="S246" i="31" s="1"/>
  <c r="R247" i="31"/>
  <c r="R248" i="31"/>
  <c r="R249" i="31"/>
  <c r="R250" i="31"/>
  <c r="R251" i="31"/>
  <c r="S251" i="31" s="1"/>
  <c r="R252" i="31"/>
  <c r="R253" i="31"/>
  <c r="S253" i="31" s="1"/>
  <c r="R254" i="31"/>
  <c r="S254" i="31" s="1"/>
  <c r="R255" i="31"/>
  <c r="S255" i="31" s="1"/>
  <c r="R256" i="31"/>
  <c r="R257" i="31"/>
  <c r="S257" i="31" s="1"/>
  <c r="R258" i="31"/>
  <c r="S258" i="31" s="1"/>
  <c r="R259" i="31"/>
  <c r="S259" i="31" s="1"/>
  <c r="R260" i="31"/>
  <c r="R261" i="31"/>
  <c r="S261" i="31"/>
  <c r="R262" i="31"/>
  <c r="R263" i="31"/>
  <c r="S263" i="3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S296" i="31" s="1"/>
  <c r="R297" i="31"/>
  <c r="S297" i="31"/>
  <c r="R298" i="31"/>
  <c r="S298" i="31" s="1"/>
  <c r="R299" i="31"/>
  <c r="S299" i="31" s="1"/>
  <c r="R300" i="31"/>
  <c r="S300" i="31" s="1"/>
  <c r="R301" i="31"/>
  <c r="S301" i="31" s="1"/>
  <c r="R302" i="31"/>
  <c r="S302" i="31" s="1"/>
  <c r="R303" i="31"/>
  <c r="S303" i="31" s="1"/>
  <c r="R304" i="31"/>
  <c r="S304" i="31" s="1"/>
  <c r="R305" i="31"/>
  <c r="S305" i="31"/>
  <c r="R306" i="31"/>
  <c r="R307" i="31"/>
  <c r="S307" i="31" s="1"/>
  <c r="R308" i="31"/>
  <c r="S308" i="31" s="1"/>
  <c r="R309" i="31"/>
  <c r="S309" i="31"/>
  <c r="R310" i="31"/>
  <c r="R311" i="31"/>
  <c r="S311" i="31"/>
  <c r="R312" i="31"/>
  <c r="R313" i="31"/>
  <c r="S313" i="31" s="1"/>
  <c r="R314" i="31"/>
  <c r="S314" i="31" s="1"/>
  <c r="R315" i="31"/>
  <c r="S315" i="31" s="1"/>
  <c r="R316" i="31"/>
  <c r="S316" i="31" s="1"/>
  <c r="R317" i="31"/>
  <c r="S317" i="31"/>
  <c r="R318" i="31"/>
  <c r="R319" i="31"/>
  <c r="S319" i="31" s="1"/>
  <c r="R320" i="31"/>
  <c r="S320" i="31" s="1"/>
  <c r="R321" i="31"/>
  <c r="S321" i="31" s="1"/>
  <c r="R322" i="31"/>
  <c r="S322" i="31" s="1"/>
  <c r="R323" i="31"/>
  <c r="S323" i="31" s="1"/>
  <c r="R324" i="31"/>
  <c r="R325" i="31"/>
  <c r="S325" i="31" s="1"/>
  <c r="R326" i="31"/>
  <c r="R327" i="31"/>
  <c r="S327" i="31"/>
  <c r="R328" i="31"/>
  <c r="R329" i="31"/>
  <c r="S329" i="31" s="1"/>
  <c r="R330" i="31"/>
  <c r="R331" i="31"/>
  <c r="S331" i="31" s="1"/>
  <c r="R332" i="31"/>
  <c r="R333" i="31"/>
  <c r="S333" i="3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S358" i="31" s="1"/>
  <c r="R359" i="31"/>
  <c r="S359" i="31" s="1"/>
  <c r="R360" i="31"/>
  <c r="R361" i="31"/>
  <c r="S361" i="31"/>
  <c r="R362" i="31"/>
  <c r="S362" i="31" s="1"/>
  <c r="R363" i="31"/>
  <c r="S363" i="31" s="1"/>
  <c r="R364" i="31"/>
  <c r="R365" i="31"/>
  <c r="S365" i="31" s="1"/>
  <c r="R366" i="31"/>
  <c r="S366" i="31" s="1"/>
  <c r="R367" i="31"/>
  <c r="S367" i="31" s="1"/>
  <c r="R368" i="31"/>
  <c r="S368" i="31" s="1"/>
  <c r="R369" i="31"/>
  <c r="S369" i="31"/>
  <c r="R370" i="31"/>
  <c r="R371" i="31"/>
  <c r="S371" i="31" s="1"/>
  <c r="R372" i="31"/>
  <c r="R373" i="31"/>
  <c r="S373" i="31" s="1"/>
  <c r="R374" i="31"/>
  <c r="R375" i="31"/>
  <c r="S375" i="3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S394" i="31" s="1"/>
  <c r="R395" i="31"/>
  <c r="S395" i="31" s="1"/>
  <c r="R396" i="31"/>
  <c r="R397" i="31"/>
  <c r="S397" i="31"/>
  <c r="R398" i="31"/>
  <c r="S398" i="31" s="1"/>
  <c r="R399" i="31"/>
  <c r="S399" i="31" s="1"/>
  <c r="R400" i="31"/>
  <c r="S400" i="31" s="1"/>
  <c r="R401" i="31"/>
  <c r="S401" i="31" s="1"/>
  <c r="R402" i="31"/>
  <c r="R403" i="31"/>
  <c r="S403" i="3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R423" i="31"/>
  <c r="S423" i="31"/>
  <c r="R424" i="31"/>
  <c r="R425" i="31"/>
  <c r="R426" i="31"/>
  <c r="S426" i="31" s="1"/>
  <c r="R427" i="31"/>
  <c r="S427" i="31" s="1"/>
  <c r="R428" i="31"/>
  <c r="R429" i="31"/>
  <c r="R430" i="31"/>
  <c r="R431" i="31"/>
  <c r="R432" i="31"/>
  <c r="R433" i="31"/>
  <c r="R434" i="31"/>
  <c r="S434" i="31" s="1"/>
  <c r="R435" i="31"/>
  <c r="S435" i="31" s="1"/>
  <c r="R436" i="31"/>
  <c r="R437" i="31"/>
  <c r="S437" i="31" s="1"/>
  <c r="R438" i="31"/>
  <c r="R439" i="31"/>
  <c r="S439" i="31" s="1"/>
  <c r="R440" i="31"/>
  <c r="R441" i="31"/>
  <c r="R442" i="31"/>
  <c r="S442" i="31" s="1"/>
  <c r="R443" i="31"/>
  <c r="S443" i="31" s="1"/>
  <c r="R444" i="31"/>
  <c r="R445" i="31"/>
  <c r="R446" i="31"/>
  <c r="R447" i="31"/>
  <c r="S447" i="31" s="1"/>
  <c r="R448" i="31"/>
  <c r="R449" i="31"/>
  <c r="R450" i="31"/>
  <c r="S450" i="31" s="1"/>
  <c r="R451" i="31"/>
  <c r="R452" i="31"/>
  <c r="R453" i="31"/>
  <c r="R454" i="31"/>
  <c r="R455" i="31"/>
  <c r="R456" i="31"/>
  <c r="S456" i="31" s="1"/>
  <c r="R457" i="31"/>
  <c r="R458" i="31"/>
  <c r="R459" i="31"/>
  <c r="R460" i="31"/>
  <c r="R461" i="31"/>
  <c r="S461" i="31" s="1"/>
  <c r="R462" i="31"/>
  <c r="R463" i="31"/>
  <c r="S463" i="31" s="1"/>
  <c r="R464" i="31"/>
  <c r="S464" i="31" s="1"/>
  <c r="R465" i="31"/>
  <c r="R466" i="31"/>
  <c r="R467" i="31"/>
  <c r="R468" i="31"/>
  <c r="R469" i="31"/>
  <c r="R470" i="31"/>
  <c r="R471" i="31"/>
  <c r="R472" i="31"/>
  <c r="R473" i="31"/>
  <c r="R474" i="31"/>
  <c r="S474" i="31" s="1"/>
  <c r="R475" i="31"/>
  <c r="R476" i="31"/>
  <c r="R477" i="31"/>
  <c r="R478" i="31"/>
  <c r="R479" i="31"/>
  <c r="S479" i="31" s="1"/>
  <c r="R480" i="31"/>
  <c r="R481" i="31"/>
  <c r="R482" i="31"/>
  <c r="S482" i="31" s="1"/>
  <c r="R483" i="31"/>
  <c r="S483" i="31" s="1"/>
  <c r="R484" i="31"/>
  <c r="R485" i="31"/>
  <c r="R486" i="31"/>
  <c r="R487" i="31"/>
  <c r="S487" i="31" s="1"/>
  <c r="R488" i="31"/>
  <c r="R489" i="31"/>
  <c r="R490" i="31"/>
  <c r="S490" i="31" s="1"/>
  <c r="R491" i="31"/>
  <c r="R492" i="31"/>
  <c r="R493" i="31"/>
  <c r="S493" i="31" s="1"/>
  <c r="R494" i="31"/>
  <c r="R495" i="31"/>
  <c r="S495" i="31" s="1"/>
  <c r="R496" i="31"/>
  <c r="R497" i="31"/>
  <c r="R498" i="31"/>
  <c r="S498" i="31" s="1"/>
  <c r="R499" i="31"/>
  <c r="R500" i="31"/>
  <c r="R501" i="31"/>
  <c r="R502" i="31"/>
  <c r="R503" i="31"/>
  <c r="R504" i="31"/>
  <c r="R505" i="31"/>
  <c r="R506" i="31"/>
  <c r="S506" i="31" s="1"/>
  <c r="R507" i="31"/>
  <c r="S507" i="31" s="1"/>
  <c r="R508" i="31"/>
  <c r="R509" i="31"/>
  <c r="R510" i="31"/>
  <c r="R511" i="31"/>
  <c r="S511" i="31" s="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2" i="31"/>
  <c r="S408" i="31"/>
  <c r="S406" i="31"/>
  <c r="S404" i="31"/>
  <c r="S402" i="31"/>
  <c r="S396" i="31"/>
  <c r="S390" i="31"/>
  <c r="S388" i="31"/>
  <c r="S386" i="31"/>
  <c r="S384" i="31"/>
  <c r="S382" i="31"/>
  <c r="S380" i="31"/>
  <c r="S378" i="31"/>
  <c r="S374" i="31"/>
  <c r="S372" i="31"/>
  <c r="S370" i="31"/>
  <c r="S364" i="31"/>
  <c r="S360" i="31"/>
  <c r="S356" i="31"/>
  <c r="S352" i="31"/>
  <c r="S350" i="31"/>
  <c r="S348" i="31"/>
  <c r="S344" i="31"/>
  <c r="S342" i="31"/>
  <c r="S340" i="31"/>
  <c r="S336" i="31"/>
  <c r="S334" i="31"/>
  <c r="S332" i="31"/>
  <c r="S330" i="31"/>
  <c r="S328" i="31"/>
  <c r="S326" i="31"/>
  <c r="S324" i="31"/>
  <c r="S424" i="31"/>
  <c r="S318" i="31"/>
  <c r="S312" i="31"/>
  <c r="S310" i="31"/>
  <c r="S306" i="31"/>
  <c r="S294" i="31"/>
  <c r="S290" i="31"/>
  <c r="S288" i="31"/>
  <c r="S286" i="31"/>
  <c r="S284" i="31"/>
  <c r="S282" i="31"/>
  <c r="S280" i="31"/>
  <c r="S272" i="31"/>
  <c r="S268" i="31"/>
  <c r="S264" i="31"/>
  <c r="S262" i="31"/>
  <c r="S260" i="31"/>
  <c r="S256" i="31"/>
  <c r="S252" i="31"/>
  <c r="S250" i="31"/>
  <c r="S249" i="31"/>
  <c r="S248" i="31"/>
  <c r="S247" i="31"/>
  <c r="S244" i="31"/>
  <c r="S243" i="31"/>
  <c r="S242" i="31"/>
  <c r="S239" i="31"/>
  <c r="S236" i="31"/>
  <c r="S235" i="31"/>
  <c r="S234" i="31"/>
  <c r="S233" i="31"/>
  <c r="S228" i="31"/>
  <c r="S226" i="31"/>
  <c r="S225" i="31"/>
  <c r="S224" i="31"/>
  <c r="S223" i="31"/>
  <c r="S429" i="31"/>
  <c r="S428" i="31"/>
  <c r="S425" i="31"/>
  <c r="S222" i="31"/>
  <c r="S221" i="31"/>
  <c r="S220" i="31"/>
  <c r="S219" i="31"/>
  <c r="S218" i="31"/>
  <c r="S217" i="31"/>
  <c r="S215" i="31"/>
  <c r="S214" i="31"/>
  <c r="S213" i="31"/>
  <c r="S212" i="31"/>
  <c r="S211" i="31"/>
  <c r="S210" i="31"/>
  <c r="S209" i="31"/>
  <c r="S207" i="31"/>
  <c r="S206" i="31"/>
  <c r="S205" i="31"/>
  <c r="S204" i="31"/>
  <c r="S203" i="31"/>
  <c r="S202" i="31"/>
  <c r="S201" i="31"/>
  <c r="S199" i="31"/>
  <c r="S198" i="31"/>
  <c r="S197" i="31"/>
  <c r="S196" i="31"/>
  <c r="S195" i="31"/>
  <c r="S194" i="31"/>
  <c r="S193" i="31"/>
  <c r="S191" i="31"/>
  <c r="S190" i="31"/>
  <c r="S189" i="31"/>
  <c r="S188" i="31"/>
  <c r="S187" i="31"/>
  <c r="S186" i="31"/>
  <c r="S183" i="31"/>
  <c r="S182" i="31"/>
  <c r="S181" i="31"/>
  <c r="S180" i="31"/>
  <c r="S179" i="31"/>
  <c r="S177" i="31"/>
  <c r="S175" i="31"/>
  <c r="S174" i="31"/>
  <c r="S173" i="31"/>
  <c r="S172" i="31"/>
  <c r="S171" i="31"/>
  <c r="S170" i="31"/>
  <c r="S167" i="31"/>
  <c r="S166" i="31"/>
  <c r="S165" i="31"/>
  <c r="S164" i="31"/>
  <c r="S163" i="31"/>
  <c r="S162" i="31"/>
  <c r="S161" i="31"/>
  <c r="S158" i="31"/>
  <c r="S157" i="31"/>
  <c r="S156" i="31"/>
  <c r="S155" i="31"/>
  <c r="S154" i="31"/>
  <c r="S153" i="31"/>
  <c r="S152" i="31"/>
  <c r="S150" i="31"/>
  <c r="S149" i="31"/>
  <c r="S148" i="31"/>
  <c r="S147" i="31"/>
  <c r="S146" i="31"/>
  <c r="S145" i="31"/>
  <c r="S144" i="31"/>
  <c r="S142" i="31"/>
  <c r="S141" i="31"/>
  <c r="S140" i="31"/>
  <c r="S139" i="31"/>
  <c r="S138" i="31"/>
  <c r="S137" i="31"/>
  <c r="S136" i="31"/>
  <c r="S134" i="31"/>
  <c r="S133" i="31"/>
  <c r="S132" i="31"/>
  <c r="S131" i="31"/>
  <c r="S130" i="31"/>
  <c r="S129" i="31"/>
  <c r="S128" i="31"/>
  <c r="S126" i="31"/>
  <c r="S125" i="31"/>
  <c r="S124" i="31"/>
  <c r="S123" i="31"/>
  <c r="S497" i="31"/>
  <c r="S496" i="31"/>
  <c r="S494" i="31"/>
  <c r="S492" i="31"/>
  <c r="S491" i="31"/>
  <c r="S489" i="31"/>
  <c r="S488" i="31"/>
  <c r="S486" i="31"/>
  <c r="S485" i="31"/>
  <c r="S484" i="31"/>
  <c r="S481" i="31"/>
  <c r="S480" i="31"/>
  <c r="S478" i="31"/>
  <c r="S477" i="31"/>
  <c r="S476" i="31"/>
  <c r="S475" i="31"/>
  <c r="S473" i="31"/>
  <c r="S472" i="31"/>
  <c r="S471" i="31"/>
  <c r="S470" i="31"/>
  <c r="S469" i="31"/>
  <c r="S468" i="31"/>
  <c r="S444" i="31"/>
  <c r="S441" i="31"/>
  <c r="S440" i="31"/>
  <c r="S438" i="31"/>
  <c r="S436" i="31"/>
  <c r="S433" i="31"/>
  <c r="S432" i="31"/>
  <c r="S431" i="31"/>
  <c r="S430" i="31"/>
  <c r="S121" i="31"/>
  <c r="S119" i="31"/>
  <c r="S117" i="31"/>
  <c r="S116" i="31"/>
  <c r="S115" i="31"/>
  <c r="S114" i="31"/>
  <c r="S112" i="31"/>
  <c r="S504" i="31"/>
  <c r="S502" i="31"/>
  <c r="S500" i="31"/>
  <c r="S467" i="31"/>
  <c r="S466" i="31"/>
  <c r="S465" i="31"/>
  <c r="S462" i="31"/>
  <c r="S460" i="31"/>
  <c r="S459" i="31"/>
  <c r="S458" i="31"/>
  <c r="S457" i="31"/>
  <c r="S455" i="31"/>
  <c r="S454" i="31"/>
  <c r="S453" i="31"/>
  <c r="S452" i="31"/>
  <c r="S451" i="31"/>
  <c r="S52" i="31"/>
  <c r="S51" i="31"/>
  <c r="S50" i="31"/>
  <c r="S49" i="31"/>
  <c r="S47" i="31"/>
  <c r="S44" i="31"/>
  <c r="S42" i="31"/>
  <c r="S41" i="31"/>
  <c r="S40" i="31"/>
  <c r="S39" i="31"/>
  <c r="S36" i="31"/>
  <c r="S33" i="31"/>
  <c r="S77" i="31"/>
  <c r="S76" i="31"/>
  <c r="S75" i="31"/>
  <c r="S74" i="31"/>
  <c r="S73" i="31"/>
  <c r="S71" i="31"/>
  <c r="S69" i="31"/>
  <c r="S68" i="31"/>
  <c r="S67" i="31"/>
  <c r="S66" i="31"/>
  <c r="S65" i="31"/>
  <c r="S64" i="31"/>
  <c r="S61" i="31"/>
  <c r="S60" i="31"/>
  <c r="S59" i="31"/>
  <c r="S58" i="31"/>
  <c r="S57" i="31"/>
  <c r="S56" i="31"/>
  <c r="S55" i="31"/>
  <c r="S24" i="31"/>
  <c r="S97" i="31"/>
  <c r="S95" i="31"/>
  <c r="S92" i="31"/>
  <c r="S90" i="31"/>
  <c r="S89" i="31"/>
  <c r="S88" i="31"/>
  <c r="S84" i="31"/>
  <c r="S82" i="31"/>
  <c r="S81" i="31"/>
  <c r="S80" i="31"/>
  <c r="S79" i="31"/>
  <c r="S31" i="31"/>
  <c r="S29" i="31"/>
  <c r="S100" i="31"/>
  <c r="S102" i="31"/>
  <c r="S103" i="31"/>
  <c r="S104" i="31"/>
  <c r="S105" i="31"/>
  <c r="S106" i="31"/>
  <c r="S108" i="31"/>
  <c r="S445" i="31"/>
  <c r="S446" i="31"/>
  <c r="S448" i="31"/>
  <c r="S449" i="31"/>
  <c r="S508" i="31"/>
  <c r="S509" i="31"/>
  <c r="S510"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c r="E44" i="35"/>
  <c r="F44" i="35" s="1"/>
  <c r="I54" i="33"/>
  <c r="J54" i="33"/>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L575" i="3" s="1"/>
  <c r="BS575" i="3"/>
  <c r="BT575" i="3"/>
  <c r="H576" i="3"/>
  <c r="AC576" i="3"/>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C26" i="35"/>
  <c r="C79" i="35" s="1"/>
  <c r="J31" i="35"/>
  <c r="W31" i="35" s="1"/>
  <c r="H31" i="35"/>
  <c r="F31" i="35"/>
  <c r="S31" i="35" s="1"/>
  <c r="D87" i="35"/>
  <c r="E87" i="35" s="1"/>
  <c r="F87" i="35" s="1"/>
  <c r="G87" i="35" s="1"/>
  <c r="H87" i="35" s="1"/>
  <c r="I87" i="35"/>
  <c r="J87" i="35" s="1"/>
  <c r="K87" i="35" s="1"/>
  <c r="L87" i="35" s="1"/>
  <c r="M87" i="35" s="1"/>
  <c r="H34" i="37"/>
  <c r="D101" i="37"/>
  <c r="E101" i="37" s="1"/>
  <c r="F101" i="37" s="1"/>
  <c r="G101" i="37" s="1"/>
  <c r="F34" i="37"/>
  <c r="D99" i="37"/>
  <c r="E99" i="37" s="1"/>
  <c r="F99" i="37" s="1"/>
  <c r="G99" i="37" s="1"/>
  <c r="H99" i="37" s="1"/>
  <c r="I99" i="37" s="1"/>
  <c r="J99" i="37" s="1"/>
  <c r="K99" i="37" s="1"/>
  <c r="L99" i="37" s="1"/>
  <c r="M99" i="37" s="1"/>
  <c r="H42" i="34"/>
  <c r="U42" i="34" s="1"/>
  <c r="J42" i="34"/>
  <c r="W42" i="34" s="1"/>
  <c r="F42" i="34"/>
  <c r="D114" i="34"/>
  <c r="D112" i="34"/>
  <c r="E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D86" i="40"/>
  <c r="E86" i="40" s="1"/>
  <c r="F86" i="40" s="1"/>
  <c r="G86" i="40"/>
  <c r="D84" i="40"/>
  <c r="E84" i="40" s="1"/>
  <c r="F84" i="40" s="1"/>
  <c r="G84" i="40" s="1"/>
  <c r="B81" i="40"/>
  <c r="H14" i="40" s="1"/>
  <c r="AB14" i="40" s="1"/>
  <c r="B79" i="40"/>
  <c r="H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s="1"/>
  <c r="F90" i="39" s="1"/>
  <c r="G90" i="39" s="1"/>
  <c r="D88" i="39"/>
  <c r="E88" i="39" s="1"/>
  <c r="F88" i="39" s="1"/>
  <c r="G88" i="39" s="1"/>
  <c r="B85" i="39"/>
  <c r="B83" i="39"/>
  <c r="J13" i="39" s="1"/>
  <c r="W13" i="39" s="1"/>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F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D75" i="37"/>
  <c r="E75" i="37" s="1"/>
  <c r="D73" i="37"/>
  <c r="E73" i="37" s="1"/>
  <c r="F73" i="37" s="1"/>
  <c r="D71" i="37"/>
  <c r="E71" i="37" s="1"/>
  <c r="H15" i="37"/>
  <c r="AB15" i="37" s="1"/>
  <c r="B68" i="37"/>
  <c r="B66" i="37"/>
  <c r="H13" i="37" s="1"/>
  <c r="B64" i="37"/>
  <c r="H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J25" i="37"/>
  <c r="W25" i="37" s="1"/>
  <c r="AC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J31" i="36"/>
  <c r="H31" i="36"/>
  <c r="U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H23" i="36" s="1"/>
  <c r="AB23" i="36" s="1"/>
  <c r="D70" i="36"/>
  <c r="H22" i="36"/>
  <c r="AB22" i="36"/>
  <c r="D68" i="36"/>
  <c r="E68" i="36" s="1"/>
  <c r="F68" i="36" s="1"/>
  <c r="G68" i="36" s="1"/>
  <c r="D64" i="36"/>
  <c r="E64" i="36" s="1"/>
  <c r="F64" i="36" s="1"/>
  <c r="G64" i="36" s="1"/>
  <c r="J16" i="36"/>
  <c r="W16" i="36" s="1"/>
  <c r="D62" i="36"/>
  <c r="E62" i="36" s="1"/>
  <c r="F62" i="36" s="1"/>
  <c r="G62" i="36" s="1"/>
  <c r="B59" i="36"/>
  <c r="B57" i="36"/>
  <c r="F12" i="36" s="1"/>
  <c r="B55" i="36"/>
  <c r="F54" i="36"/>
  <c r="G54" i="36" s="1"/>
  <c r="H54" i="36" s="1"/>
  <c r="I54" i="36" s="1"/>
  <c r="C51" i="36"/>
  <c r="P37" i="36"/>
  <c r="P36" i="36"/>
  <c r="V35" i="36"/>
  <c r="T35" i="36"/>
  <c r="R35" i="36"/>
  <c r="P35" i="36"/>
  <c r="Q34" i="36"/>
  <c r="Z34" i="36" s="1"/>
  <c r="Q33" i="36"/>
  <c r="Z33" i="36"/>
  <c r="Q32" i="36"/>
  <c r="Z32" i="36" s="1"/>
  <c r="Q31" i="36"/>
  <c r="Z31" i="36" s="1"/>
  <c r="Q30" i="36"/>
  <c r="Z30" i="36" s="1"/>
  <c r="Q29" i="36"/>
  <c r="Z29" i="36" s="1"/>
  <c r="Q28" i="36"/>
  <c r="Z28" i="36" s="1"/>
  <c r="J28" i="36"/>
  <c r="Q27" i="36"/>
  <c r="Z27" i="36" s="1"/>
  <c r="Q26" i="36"/>
  <c r="Z26" i="36" s="1"/>
  <c r="H26" i="36"/>
  <c r="AB26" i="36"/>
  <c r="Q25" i="36"/>
  <c r="Z25" i="36" s="1"/>
  <c r="Q24" i="36"/>
  <c r="Z24" i="36" s="1"/>
  <c r="H24" i="36"/>
  <c r="AB24" i="36" s="1"/>
  <c r="Q23" i="36"/>
  <c r="Z23" i="36" s="1"/>
  <c r="J23" i="36"/>
  <c r="AC23" i="36" s="1"/>
  <c r="F23" i="36"/>
  <c r="Q22" i="36"/>
  <c r="Z22" i="36" s="1"/>
  <c r="J22" i="36"/>
  <c r="AC22" i="36" s="1"/>
  <c r="Q20" i="36"/>
  <c r="Z20" i="36" s="1"/>
  <c r="Q16" i="36"/>
  <c r="Z16" i="36" s="1"/>
  <c r="Q14" i="36"/>
  <c r="Z14" i="36" s="1"/>
  <c r="Q13" i="36"/>
  <c r="Z13" i="36" s="1"/>
  <c r="Q12" i="36"/>
  <c r="Z12" i="36"/>
  <c r="Q11" i="36"/>
  <c r="Z11" i="36" s="1"/>
  <c r="Q10" i="36"/>
  <c r="Z10" i="36" s="1"/>
  <c r="F10" i="36"/>
  <c r="AA10" i="36" s="1"/>
  <c r="Q9" i="36"/>
  <c r="Z9" i="36" s="1"/>
  <c r="H9" i="36"/>
  <c r="J8" i="36"/>
  <c r="AC8" i="36"/>
  <c r="H8" i="36"/>
  <c r="AB8" i="36" s="1"/>
  <c r="U8" i="36"/>
  <c r="F8" i="36"/>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U36" i="35" s="1"/>
  <c r="AB36" i="35"/>
  <c r="B99" i="35"/>
  <c r="H35" i="35" s="1"/>
  <c r="B97" i="35"/>
  <c r="B77" i="35"/>
  <c r="B75" i="35"/>
  <c r="B73" i="35"/>
  <c r="F23" i="35" s="1"/>
  <c r="AA23" i="35" s="1"/>
  <c r="H23" i="35"/>
  <c r="U23" i="35" s="1"/>
  <c r="B57" i="35"/>
  <c r="B61" i="35"/>
  <c r="F13" i="35" s="1"/>
  <c r="B59" i="35"/>
  <c r="B131" i="34"/>
  <c r="B129" i="34"/>
  <c r="B127" i="34"/>
  <c r="H45" i="34" s="1"/>
  <c r="B99" i="34"/>
  <c r="B97" i="34"/>
  <c r="B95" i="34"/>
  <c r="B93" i="34"/>
  <c r="J29" i="34" s="1"/>
  <c r="W29" i="34" s="1"/>
  <c r="B75" i="34"/>
  <c r="B73" i="34"/>
  <c r="H13" i="34" s="1"/>
  <c r="B71" i="34"/>
  <c r="B130" i="33"/>
  <c r="J46" i="33" s="1"/>
  <c r="AC46" i="33" s="1"/>
  <c r="B128" i="33"/>
  <c r="H45" i="33" s="1"/>
  <c r="B126" i="33"/>
  <c r="B98" i="33"/>
  <c r="B96" i="33"/>
  <c r="H30" i="33" s="1"/>
  <c r="B94" i="33"/>
  <c r="B74" i="33"/>
  <c r="B72" i="33"/>
  <c r="B70" i="33"/>
  <c r="D96" i="35"/>
  <c r="E96" i="35"/>
  <c r="F96" i="35" s="1"/>
  <c r="G96" i="35" s="1"/>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B31" i="35"/>
  <c r="Q30" i="35"/>
  <c r="Z30" i="35" s="1"/>
  <c r="Q29" i="35"/>
  <c r="Z29" i="35"/>
  <c r="Q28" i="35"/>
  <c r="Z28" i="35" s="1"/>
  <c r="J28" i="35"/>
  <c r="H28" i="35"/>
  <c r="AB28" i="35" s="1"/>
  <c r="F28" i="35"/>
  <c r="AA28" i="35"/>
  <c r="Q27" i="35"/>
  <c r="Z27" i="35" s="1"/>
  <c r="Q26" i="35"/>
  <c r="Z26" i="35" s="1"/>
  <c r="Q25" i="35"/>
  <c r="Z25" i="35" s="1"/>
  <c r="Q24" i="35"/>
  <c r="Z24" i="35" s="1"/>
  <c r="Q23" i="35"/>
  <c r="Z23" i="35" s="1"/>
  <c r="J23" i="35"/>
  <c r="AC23" i="35" s="1"/>
  <c r="Q22" i="35"/>
  <c r="Z22" i="35" s="1"/>
  <c r="Q20" i="35"/>
  <c r="Z20" i="35" s="1"/>
  <c r="Q16" i="35"/>
  <c r="Z16" i="35" s="1"/>
  <c r="Q14" i="35"/>
  <c r="Z14" i="35"/>
  <c r="Q13" i="35"/>
  <c r="Z13" i="35" s="1"/>
  <c r="Q12" i="35"/>
  <c r="Z12" i="35" s="1"/>
  <c r="J12" i="35"/>
  <c r="W12" i="35" s="1"/>
  <c r="Q11" i="35"/>
  <c r="Z11" i="35" s="1"/>
  <c r="Q10" i="35"/>
  <c r="Z10" i="35" s="1"/>
  <c r="Q9" i="35"/>
  <c r="Z9" i="35"/>
  <c r="J8" i="35"/>
  <c r="H8" i="35"/>
  <c r="AB8" i="35"/>
  <c r="F8" i="35"/>
  <c r="D120" i="34"/>
  <c r="E120" i="34" s="1"/>
  <c r="F120" i="34" s="1"/>
  <c r="G120" i="34" s="1"/>
  <c r="H120" i="34" s="1"/>
  <c r="I120" i="34" s="1"/>
  <c r="J120" i="34" s="1"/>
  <c r="K120" i="34" s="1"/>
  <c r="L120" i="34" s="1"/>
  <c r="M120" i="34" s="1"/>
  <c r="D90" i="34"/>
  <c r="E90" i="34" s="1"/>
  <c r="C15" i="34"/>
  <c r="F67" i="34"/>
  <c r="G67" i="34" s="1"/>
  <c r="H10" i="34" s="1"/>
  <c r="AB10" i="34" s="1"/>
  <c r="D126" i="34"/>
  <c r="E126" i="34" s="1"/>
  <c r="F126" i="34" s="1"/>
  <c r="G126" i="34" s="1"/>
  <c r="D124" i="34"/>
  <c r="H43"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H33" i="34" s="1"/>
  <c r="U33" i="34" s="1"/>
  <c r="D92" i="34"/>
  <c r="E92" i="34" s="1"/>
  <c r="F92" i="34" s="1"/>
  <c r="G92" i="34" s="1"/>
  <c r="H92" i="34" s="1"/>
  <c r="I92" i="34" s="1"/>
  <c r="J92" i="34" s="1"/>
  <c r="K92" i="34" s="1"/>
  <c r="L92" i="34" s="1"/>
  <c r="M92" i="34" s="1"/>
  <c r="B91" i="34"/>
  <c r="J28" i="34" s="1"/>
  <c r="W28" i="34" s="1"/>
  <c r="B89" i="34"/>
  <c r="D88" i="34"/>
  <c r="E88" i="34" s="1"/>
  <c r="F88" i="34" s="1"/>
  <c r="G88" i="34" s="1"/>
  <c r="D86" i="34"/>
  <c r="E86" i="34" s="1"/>
  <c r="F86" i="34" s="1"/>
  <c r="G86" i="34" s="1"/>
  <c r="D82" i="34"/>
  <c r="E82" i="34" s="1"/>
  <c r="F82" i="34" s="1"/>
  <c r="G82" i="34" s="1"/>
  <c r="D80" i="34"/>
  <c r="D78" i="34"/>
  <c r="E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J12" i="34"/>
  <c r="H12" i="34"/>
  <c r="F12" i="34"/>
  <c r="AA12" i="34" s="1"/>
  <c r="S12" i="34"/>
  <c r="Q11" i="34"/>
  <c r="Z11" i="34" s="1"/>
  <c r="Q10" i="34"/>
  <c r="Z10" i="34" s="1"/>
  <c r="Q9" i="34"/>
  <c r="Z9" i="34" s="1"/>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B90" i="33"/>
  <c r="H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Q39" i="33"/>
  <c r="Z39" i="33" s="1"/>
  <c r="J39" i="33"/>
  <c r="W39" i="33" s="1"/>
  <c r="Q38" i="33"/>
  <c r="Z38" i="33" s="1"/>
  <c r="J38" i="33"/>
  <c r="AC38" i="33" s="1"/>
  <c r="H38" i="33"/>
  <c r="F38" i="33"/>
  <c r="Q37" i="33"/>
  <c r="Z37" i="33" s="1"/>
  <c r="Q36" i="33"/>
  <c r="Z36" i="33"/>
  <c r="Q35" i="33"/>
  <c r="Z35" i="33" s="1"/>
  <c r="H35" i="33"/>
  <c r="Q34" i="33"/>
  <c r="Z34" i="33" s="1"/>
  <c r="Q33" i="33"/>
  <c r="Z33" i="33" s="1"/>
  <c r="J33" i="33"/>
  <c r="W33" i="33" s="1"/>
  <c r="AC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s="1"/>
  <c r="Q11" i="33"/>
  <c r="Z11" i="33" s="1"/>
  <c r="Q10" i="33"/>
  <c r="Z10" i="33" s="1"/>
  <c r="Q9" i="33"/>
  <c r="Z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G15" i="20"/>
  <c r="B81" i="43" s="1"/>
  <c r="C24" i="20"/>
  <c r="B73" i="43"/>
  <c r="C21" i="20"/>
  <c r="C20" i="20"/>
  <c r="C18" i="20"/>
  <c r="C17" i="20"/>
  <c r="B59" i="43" s="1"/>
  <c r="C16" i="20"/>
  <c r="C17" i="39" s="1"/>
  <c r="C15" i="20"/>
  <c r="E54" i="21"/>
  <c r="F54" i="21" s="1"/>
  <c r="I54" i="21"/>
  <c r="J54" i="21" s="1"/>
  <c r="G54" i="21"/>
  <c r="H54" i="21" s="1"/>
  <c r="D125" i="21"/>
  <c r="E125" i="21" s="1"/>
  <c r="F125" i="21" s="1"/>
  <c r="G125" i="21" s="1"/>
  <c r="D123" i="21"/>
  <c r="E123" i="21" s="1"/>
  <c r="F123" i="21" s="1"/>
  <c r="F42" i="21"/>
  <c r="D119" i="21"/>
  <c r="E119" i="21" s="1"/>
  <c r="F119" i="21" s="1"/>
  <c r="G119" i="21" s="1"/>
  <c r="H119" i="21" s="1"/>
  <c r="I119" i="21" s="1"/>
  <c r="J119" i="21" s="1"/>
  <c r="K119" i="21" s="1"/>
  <c r="L119" i="21" s="1"/>
  <c r="M119" i="21" s="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c r="B130" i="21"/>
  <c r="B128" i="21"/>
  <c r="F45" i="21" s="1"/>
  <c r="J45" i="21"/>
  <c r="B126" i="21"/>
  <c r="B98" i="21"/>
  <c r="H31" i="21" s="1"/>
  <c r="AB31" i="21" s="1"/>
  <c r="B96" i="21"/>
  <c r="H30" i="21" s="1"/>
  <c r="B94" i="21"/>
  <c r="J29" i="21"/>
  <c r="AC29" i="21" s="1"/>
  <c r="B92" i="21"/>
  <c r="B90" i="21"/>
  <c r="B74" i="21"/>
  <c r="F14" i="21" s="1"/>
  <c r="S14" i="21" s="1"/>
  <c r="B72" i="21"/>
  <c r="B70" i="21"/>
  <c r="C19" i="21"/>
  <c r="C17" i="21"/>
  <c r="C23" i="21"/>
  <c r="Q9" i="21"/>
  <c r="Z9" i="21" s="1"/>
  <c r="Q10" i="21"/>
  <c r="Z10" i="21" s="1"/>
  <c r="Q11" i="21"/>
  <c r="Z11" i="21" s="1"/>
  <c r="Q12" i="21"/>
  <c r="Z12" i="21" s="1"/>
  <c r="Q13" i="21"/>
  <c r="Z13" i="21" s="1"/>
  <c r="Q14" i="21"/>
  <c r="Z14" i="21"/>
  <c r="Q15" i="21"/>
  <c r="Z15" i="21"/>
  <c r="Q17" i="21"/>
  <c r="Z17" i="21" s="1"/>
  <c r="Q19" i="21"/>
  <c r="Z19" i="21" s="1"/>
  <c r="Q23" i="21"/>
  <c r="Z23" i="21"/>
  <c r="Q25" i="21"/>
  <c r="Z25" i="21" s="1"/>
  <c r="Q26" i="21"/>
  <c r="Z26" i="21" s="1"/>
  <c r="Q27" i="21"/>
  <c r="Z27" i="21" s="1"/>
  <c r="Q28" i="21"/>
  <c r="Z28" i="21"/>
  <c r="Q29" i="21"/>
  <c r="Z29" i="2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H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J10" i="21"/>
  <c r="AC10" i="21" s="1"/>
  <c r="H26" i="21"/>
  <c r="AB19" i="21"/>
  <c r="J19" i="21"/>
  <c r="W19" i="21" s="1"/>
  <c r="J26" i="21"/>
  <c r="W26" i="21" s="1"/>
  <c r="F26" i="21"/>
  <c r="S26" i="21" s="1"/>
  <c r="F36" i="39"/>
  <c r="S36" i="39" s="1"/>
  <c r="H36" i="39"/>
  <c r="J36" i="39"/>
  <c r="W31" i="37"/>
  <c r="F29" i="36"/>
  <c r="AA29" i="36" s="1"/>
  <c r="W8" i="36"/>
  <c r="F16" i="36"/>
  <c r="AA16" i="36" s="1"/>
  <c r="AC31" i="36"/>
  <c r="W31" i="36"/>
  <c r="H22" i="35"/>
  <c r="AB22" i="35" s="1"/>
  <c r="U31" i="35"/>
  <c r="W22" i="35"/>
  <c r="F36" i="34"/>
  <c r="S36" i="34" s="1"/>
  <c r="J35" i="34"/>
  <c r="W9" i="34"/>
  <c r="H39" i="33"/>
  <c r="AB39" i="33"/>
  <c r="F26" i="33"/>
  <c r="U33" i="33"/>
  <c r="S27" i="35"/>
  <c r="F11" i="40"/>
  <c r="AA11" i="40" s="1"/>
  <c r="H11" i="40"/>
  <c r="AB11" i="40" s="1"/>
  <c r="AA9" i="40"/>
  <c r="F42" i="39"/>
  <c r="F41" i="39"/>
  <c r="H40" i="39"/>
  <c r="AB40" i="39" s="1"/>
  <c r="H39" i="39"/>
  <c r="U39" i="39" s="1"/>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AC17" i="39" s="1"/>
  <c r="J27" i="39"/>
  <c r="F27" i="39"/>
  <c r="S27" i="39" s="1"/>
  <c r="F11" i="21"/>
  <c r="C27" i="39"/>
  <c r="H11" i="39"/>
  <c r="H32" i="33"/>
  <c r="AB32" i="33" s="1"/>
  <c r="H11" i="21"/>
  <c r="J11" i="21"/>
  <c r="H37" i="40"/>
  <c r="U37" i="40" s="1"/>
  <c r="H36" i="40"/>
  <c r="AB36" i="40" s="1"/>
  <c r="F35" i="40"/>
  <c r="H23" i="40"/>
  <c r="U23" i="40" s="1"/>
  <c r="H17" i="40"/>
  <c r="U17" i="40" s="1"/>
  <c r="J15" i="40"/>
  <c r="W15" i="40" s="1"/>
  <c r="J11" i="40"/>
  <c r="W11" i="40" s="1"/>
  <c r="AB8" i="39"/>
  <c r="U30" i="36"/>
  <c r="J30" i="35"/>
  <c r="W30" i="35" s="1"/>
  <c r="H30" i="35"/>
  <c r="F22" i="35"/>
  <c r="AA22" i="35" s="1"/>
  <c r="H10" i="35"/>
  <c r="U10" i="35" s="1"/>
  <c r="AC16" i="36"/>
  <c r="W30" i="36"/>
  <c r="H16" i="36"/>
  <c r="AB16" i="36" s="1"/>
  <c r="J29" i="36"/>
  <c r="AC29" i="36" s="1"/>
  <c r="F24" i="36"/>
  <c r="AA24" i="36" s="1"/>
  <c r="U8" i="35"/>
  <c r="F14" i="35"/>
  <c r="S14" i="35" s="1"/>
  <c r="AA14" i="35"/>
  <c r="J32" i="35"/>
  <c r="AC32" i="35" s="1"/>
  <c r="J16" i="35"/>
  <c r="AC16" i="35" s="1"/>
  <c r="H16" i="35"/>
  <c r="F16" i="35"/>
  <c r="S16" i="35" s="1"/>
  <c r="H14" i="35"/>
  <c r="AB14" i="35" s="1"/>
  <c r="J29" i="35"/>
  <c r="AC29" i="35" s="1"/>
  <c r="H33" i="35"/>
  <c r="U33" i="35" s="1"/>
  <c r="J20" i="35"/>
  <c r="W20" i="35" s="1"/>
  <c r="F35" i="37"/>
  <c r="S35" i="37"/>
  <c r="H101" i="37"/>
  <c r="I101" i="37" s="1"/>
  <c r="J101" i="37" s="1"/>
  <c r="K101" i="37" s="1"/>
  <c r="L101" i="37" s="1"/>
  <c r="M101" i="37" s="1"/>
  <c r="J34" i="37"/>
  <c r="W34" i="37" s="1"/>
  <c r="AB34" i="37"/>
  <c r="J33" i="37"/>
  <c r="AC33" i="37"/>
  <c r="H36" i="34"/>
  <c r="U36" i="34" s="1"/>
  <c r="F28" i="34"/>
  <c r="H23" i="34"/>
  <c r="U23" i="34" s="1"/>
  <c r="J23" i="34"/>
  <c r="F19" i="34"/>
  <c r="S19" i="34" s="1"/>
  <c r="F41" i="33"/>
  <c r="AA41" i="33"/>
  <c r="F32" i="33"/>
  <c r="AA32" i="33" s="1"/>
  <c r="J19" i="33"/>
  <c r="AC19" i="33" s="1"/>
  <c r="J15" i="33"/>
  <c r="AC15" i="33" s="1"/>
  <c r="F11" i="33"/>
  <c r="AA11" i="33" s="1"/>
  <c r="U8" i="33"/>
  <c r="S8" i="33"/>
  <c r="F37" i="40"/>
  <c r="AA37" i="40" s="1"/>
  <c r="F36" i="40"/>
  <c r="AA36" i="40" s="1"/>
  <c r="H28" i="40"/>
  <c r="F23" i="40"/>
  <c r="F17" i="40"/>
  <c r="AA17" i="40" s="1"/>
  <c r="J17" i="40"/>
  <c r="W17" i="40" s="1"/>
  <c r="F15" i="40"/>
  <c r="H15" i="40"/>
  <c r="AB15" i="40" s="1"/>
  <c r="AB30" i="36"/>
  <c r="F29" i="35"/>
  <c r="H29" i="35"/>
  <c r="AB29" i="35" s="1"/>
  <c r="H33" i="37"/>
  <c r="F33" i="37"/>
  <c r="AA33" i="37" s="1"/>
  <c r="U34" i="37"/>
  <c r="W33" i="37"/>
  <c r="H38" i="34"/>
  <c r="AB38" i="34" s="1"/>
  <c r="J36" i="34"/>
  <c r="F23" i="34"/>
  <c r="AA23" i="34" s="1"/>
  <c r="J19" i="34"/>
  <c r="AC19" i="34" s="1"/>
  <c r="S41" i="33"/>
  <c r="H37" i="33"/>
  <c r="H15" i="33"/>
  <c r="AB15" i="33" s="1"/>
  <c r="H11" i="33"/>
  <c r="F28" i="40"/>
  <c r="AA42" i="34"/>
  <c r="S42" i="34"/>
  <c r="J11" i="33"/>
  <c r="W11" i="33" s="1"/>
  <c r="G123" i="21"/>
  <c r="H123" i="21" s="1"/>
  <c r="I123" i="21" s="1"/>
  <c r="J123" i="21" s="1"/>
  <c r="K123" i="21" s="1"/>
  <c r="L123" i="21" s="1"/>
  <c r="M123" i="21" s="1"/>
  <c r="J42" i="21"/>
  <c r="AC42" i="21" s="1"/>
  <c r="H42" i="21"/>
  <c r="U42" i="21" s="1"/>
  <c r="J44" i="34"/>
  <c r="AC44" i="34" s="1"/>
  <c r="F44" i="34"/>
  <c r="AA44" i="34" s="1"/>
  <c r="J10" i="35"/>
  <c r="W10" i="35" s="1"/>
  <c r="J28" i="21"/>
  <c r="F30" i="21"/>
  <c r="AA30" i="21" s="1"/>
  <c r="H46" i="21"/>
  <c r="U46" i="21" s="1"/>
  <c r="H26" i="33"/>
  <c r="F28" i="33"/>
  <c r="AA28" i="33" s="1"/>
  <c r="F33" i="35"/>
  <c r="AA33" i="35" s="1"/>
  <c r="J33" i="35"/>
  <c r="AC33" i="35" s="1"/>
  <c r="F30" i="35"/>
  <c r="F89" i="35"/>
  <c r="G89" i="35" s="1"/>
  <c r="H89" i="35" s="1"/>
  <c r="I89" i="35" s="1"/>
  <c r="J89" i="35" s="1"/>
  <c r="K89" i="35" s="1"/>
  <c r="L89" i="35" s="1"/>
  <c r="M89" i="35" s="1"/>
  <c r="H10" i="36"/>
  <c r="AB10" i="36" s="1"/>
  <c r="J14" i="36"/>
  <c r="H14" i="36"/>
  <c r="U14" i="36" s="1"/>
  <c r="F28" i="36"/>
  <c r="AA28" i="36" s="1"/>
  <c r="H27" i="21"/>
  <c r="H29" i="21"/>
  <c r="U29" i="21" s="1"/>
  <c r="J13" i="33"/>
  <c r="AC13" i="33" s="1"/>
  <c r="H13" i="33"/>
  <c r="F13" i="33"/>
  <c r="H31" i="33"/>
  <c r="U45" i="33"/>
  <c r="J45" i="33"/>
  <c r="W45" i="33" s="1"/>
  <c r="F45" i="33"/>
  <c r="S45" i="33" s="1"/>
  <c r="AA45" i="33"/>
  <c r="H30" i="34"/>
  <c r="H32" i="34"/>
  <c r="AB32" i="34" s="1"/>
  <c r="F32" i="34"/>
  <c r="J32" i="34"/>
  <c r="H46" i="34"/>
  <c r="F46" i="34"/>
  <c r="AA46" i="34" s="1"/>
  <c r="J46" i="34"/>
  <c r="W46" i="34" s="1"/>
  <c r="F11" i="35"/>
  <c r="J26" i="36"/>
  <c r="W26" i="36" s="1"/>
  <c r="H28" i="36"/>
  <c r="H32" i="36"/>
  <c r="AB32" i="36" s="1"/>
  <c r="J32" i="36"/>
  <c r="F11" i="36"/>
  <c r="AA11" i="36" s="1"/>
  <c r="H13" i="36"/>
  <c r="AB13" i="36" s="1"/>
  <c r="J13" i="36"/>
  <c r="AC13" i="36" s="1"/>
  <c r="F13" i="36"/>
  <c r="S13" i="36" s="1"/>
  <c r="J29" i="37"/>
  <c r="W29" i="37" s="1"/>
  <c r="F29" i="37"/>
  <c r="S29" i="37" s="1"/>
  <c r="H36" i="37"/>
  <c r="AB36" i="37" s="1"/>
  <c r="J37" i="37"/>
  <c r="H37" i="37"/>
  <c r="F40" i="37"/>
  <c r="F14" i="33"/>
  <c r="J44" i="33"/>
  <c r="J13" i="34"/>
  <c r="J31" i="34"/>
  <c r="AC31" i="34" s="1"/>
  <c r="H31" i="34"/>
  <c r="AB31" i="34" s="1"/>
  <c r="F31" i="34"/>
  <c r="J47" i="34"/>
  <c r="AC47" i="34" s="1"/>
  <c r="J25" i="35"/>
  <c r="W25" i="35" s="1"/>
  <c r="F25" i="35"/>
  <c r="H25" i="35"/>
  <c r="U25" i="35" s="1"/>
  <c r="F28" i="37"/>
  <c r="AA28" i="37"/>
  <c r="J28" i="37"/>
  <c r="W28" i="37" s="1"/>
  <c r="AC28" i="37"/>
  <c r="H28" i="37"/>
  <c r="J38" i="37"/>
  <c r="AC38" i="37" s="1"/>
  <c r="F43" i="39"/>
  <c r="H30" i="40"/>
  <c r="AB30" i="40"/>
  <c r="H33" i="40"/>
  <c r="U33" i="40" s="1"/>
  <c r="J35" i="40"/>
  <c r="AC35" i="40" s="1"/>
  <c r="J37" i="40"/>
  <c r="AC37" i="40" s="1"/>
  <c r="J13" i="40"/>
  <c r="AC13" i="40" s="1"/>
  <c r="F27" i="37"/>
  <c r="F13" i="39"/>
  <c r="H13" i="39"/>
  <c r="AB13" i="39" s="1"/>
  <c r="J27" i="37"/>
  <c r="AC27" i="37" s="1"/>
  <c r="U31" i="34"/>
  <c r="J36" i="37"/>
  <c r="AC36" i="37" s="1"/>
  <c r="J10" i="36"/>
  <c r="W10" i="36" s="1"/>
  <c r="W13" i="36"/>
  <c r="AB45" i="33"/>
  <c r="AB31" i="33"/>
  <c r="U31" i="33"/>
  <c r="F17" i="21"/>
  <c r="AA17" i="21" s="1"/>
  <c r="H17" i="21"/>
  <c r="F15" i="21"/>
  <c r="S15" i="21"/>
  <c r="J41" i="39"/>
  <c r="W41" i="39" s="1"/>
  <c r="AC45" i="39"/>
  <c r="G544" i="3"/>
  <c r="G531" i="3"/>
  <c r="G528" i="3"/>
  <c r="G527" i="3"/>
  <c r="G514" i="3"/>
  <c r="G508" i="3"/>
  <c r="G496" i="3"/>
  <c r="G576" i="3"/>
  <c r="G572" i="3"/>
  <c r="G560" i="3"/>
  <c r="BL542" i="3"/>
  <c r="BL498" i="3"/>
  <c r="BL566" i="3"/>
  <c r="BL532" i="3"/>
  <c r="BA528" i="3"/>
  <c r="BA512" i="3"/>
  <c r="BA497" i="3"/>
  <c r="G579" i="3"/>
  <c r="G571" i="3"/>
  <c r="G569" i="3"/>
  <c r="G563" i="3"/>
  <c r="AC557" i="3"/>
  <c r="BQ557" i="3"/>
  <c r="BQ583" i="3"/>
  <c r="BQ581" i="3"/>
  <c r="BL581" i="3" s="1"/>
  <c r="BQ579" i="3"/>
  <c r="BQ577" i="3"/>
  <c r="BQ575" i="3"/>
  <c r="BQ573" i="3"/>
  <c r="BQ571" i="3"/>
  <c r="BQ569" i="3"/>
  <c r="BQ567" i="3"/>
  <c r="BQ565" i="3"/>
  <c r="BQ563" i="3"/>
  <c r="BQ561" i="3"/>
  <c r="BQ559" i="3"/>
  <c r="G549" i="3"/>
  <c r="G547" i="3"/>
  <c r="G545" i="3"/>
  <c r="G541" i="3"/>
  <c r="BQ555" i="3"/>
  <c r="BQ553" i="3"/>
  <c r="BQ551" i="3"/>
  <c r="BQ549" i="3"/>
  <c r="BL549" i="3" s="1"/>
  <c r="BQ547" i="3"/>
  <c r="BQ545" i="3"/>
  <c r="BL545" i="3" s="1"/>
  <c r="BQ543" i="3"/>
  <c r="BQ541" i="3"/>
  <c r="BQ539" i="3"/>
  <c r="BQ537" i="3"/>
  <c r="BQ535" i="3"/>
  <c r="BQ533" i="3"/>
  <c r="BQ531" i="3"/>
  <c r="BQ529" i="3"/>
  <c r="BL529" i="3" s="1"/>
  <c r="BQ527" i="3"/>
  <c r="BQ525" i="3"/>
  <c r="BQ523" i="3"/>
  <c r="AC521" i="3"/>
  <c r="BQ521" i="3"/>
  <c r="BL521" i="3" s="1"/>
  <c r="G517" i="3"/>
  <c r="G511" i="3"/>
  <c r="BQ519" i="3"/>
  <c r="BQ517" i="3"/>
  <c r="BL517" i="3"/>
  <c r="BQ515" i="3"/>
  <c r="BQ513" i="3"/>
  <c r="BQ511" i="3"/>
  <c r="AC509" i="3"/>
  <c r="BQ509" i="3"/>
  <c r="G505" i="3"/>
  <c r="G503" i="3"/>
  <c r="G501" i="3"/>
  <c r="BQ507" i="3"/>
  <c r="BQ505" i="3"/>
  <c r="BL505" i="3" s="1"/>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AB17" i="37" s="1"/>
  <c r="U17" i="37"/>
  <c r="AB27" i="37"/>
  <c r="U32" i="33"/>
  <c r="F39" i="33"/>
  <c r="AA39" i="33" s="1"/>
  <c r="F42" i="33"/>
  <c r="H28" i="34"/>
  <c r="F14" i="36"/>
  <c r="AA14" i="36" s="1"/>
  <c r="F22" i="36"/>
  <c r="S22" i="36" s="1"/>
  <c r="F26" i="36"/>
  <c r="S26" i="36" s="1"/>
  <c r="H35" i="34"/>
  <c r="U35" i="34" s="1"/>
  <c r="F41" i="34"/>
  <c r="S41" i="34" s="1"/>
  <c r="H41" i="34"/>
  <c r="U41" i="34" s="1"/>
  <c r="J41" i="34"/>
  <c r="AC41" i="34" s="1"/>
  <c r="F10" i="35"/>
  <c r="AA10" i="35" s="1"/>
  <c r="H23" i="37"/>
  <c r="AB23" i="37" s="1"/>
  <c r="J32" i="37"/>
  <c r="F36" i="37"/>
  <c r="AA36" i="37" s="1"/>
  <c r="F37" i="37"/>
  <c r="AA37" i="37" s="1"/>
  <c r="J36" i="40"/>
  <c r="AC36" i="40" s="1"/>
  <c r="H19" i="37"/>
  <c r="H42" i="33"/>
  <c r="AB42" i="33" s="1"/>
  <c r="J43" i="33"/>
  <c r="S28" i="31"/>
  <c r="S27" i="31"/>
  <c r="S26" i="31"/>
  <c r="AC8" i="37"/>
  <c r="AC45" i="33"/>
  <c r="U19" i="21"/>
  <c r="AB38" i="21"/>
  <c r="F43" i="33"/>
  <c r="AA43" i="33"/>
  <c r="W16" i="35"/>
  <c r="H37" i="21"/>
  <c r="U37" i="21" s="1"/>
  <c r="H19" i="34"/>
  <c r="AB19" i="34" s="1"/>
  <c r="F36" i="35"/>
  <c r="F15" i="37"/>
  <c r="F31" i="37"/>
  <c r="F12" i="39"/>
  <c r="J42" i="39"/>
  <c r="AC42" i="39" s="1"/>
  <c r="H21" i="40"/>
  <c r="AB21" i="40"/>
  <c r="F94" i="37"/>
  <c r="G94" i="37"/>
  <c r="H94" i="37" s="1"/>
  <c r="I94" i="37" s="1"/>
  <c r="J94" i="37" s="1"/>
  <c r="K94" i="37" s="1"/>
  <c r="L94" i="37" s="1"/>
  <c r="M94" i="37" s="1"/>
  <c r="H31" i="37"/>
  <c r="F71" i="37"/>
  <c r="G71" i="37" s="1"/>
  <c r="J15" i="37"/>
  <c r="W15" i="37" s="1"/>
  <c r="AT6" i="3"/>
  <c r="C12" i="43"/>
  <c r="H19" i="40"/>
  <c r="U19" i="40" s="1"/>
  <c r="G88" i="40"/>
  <c r="F19" i="40"/>
  <c r="S19" i="40"/>
  <c r="H37" i="39"/>
  <c r="AB37" i="39" s="1"/>
  <c r="H25" i="39"/>
  <c r="J25" i="39"/>
  <c r="W25" i="39" s="1"/>
  <c r="F25" i="39"/>
  <c r="AA25" i="39" s="1"/>
  <c r="F15" i="39"/>
  <c r="AA15" i="39" s="1"/>
  <c r="H15" i="39"/>
  <c r="U15" i="39" s="1"/>
  <c r="J15" i="39"/>
  <c r="W15" i="39" s="1"/>
  <c r="H41" i="39"/>
  <c r="AB34" i="39"/>
  <c r="U40" i="39"/>
  <c r="W9" i="39"/>
  <c r="W8" i="39"/>
  <c r="J19" i="40"/>
  <c r="AC19" i="40" s="1"/>
  <c r="J50" i="40"/>
  <c r="H103" i="9"/>
  <c r="D8" i="53" s="1"/>
  <c r="B16" i="53"/>
  <c r="B33" i="72" s="1"/>
  <c r="C7" i="37"/>
  <c r="C52" i="37" s="1"/>
  <c r="D52" i="37" s="1"/>
  <c r="C7" i="34"/>
  <c r="C59" i="34" s="1"/>
  <c r="D59" i="34" s="1"/>
  <c r="E59" i="34" s="1"/>
  <c r="F59" i="34" s="1"/>
  <c r="G59" i="34" s="1"/>
  <c r="H59" i="34" s="1"/>
  <c r="I59" i="34" s="1"/>
  <c r="J59" i="34" s="1"/>
  <c r="C7" i="36"/>
  <c r="C46" i="36" s="1"/>
  <c r="D46" i="36" s="1"/>
  <c r="E46" i="36" s="1"/>
  <c r="F46" i="36" s="1"/>
  <c r="A118" i="9"/>
  <c r="A4" i="52"/>
  <c r="B41" i="72" s="1"/>
  <c r="J11" i="39"/>
  <c r="W11" i="39" s="1"/>
  <c r="F11" i="39"/>
  <c r="AA11" i="39" s="1"/>
  <c r="A12" i="52"/>
  <c r="B56" i="72" s="1"/>
  <c r="G4" i="4"/>
  <c r="I4" i="4"/>
  <c r="K5" i="4" s="1"/>
  <c r="B47" i="48" s="1"/>
  <c r="A2" i="9"/>
  <c r="F59" i="43"/>
  <c r="H66" i="43" s="1"/>
  <c r="G546"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G534" i="3"/>
  <c r="G530" i="3"/>
  <c r="G52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s="1"/>
  <c r="BA346" i="3"/>
  <c r="BA347" i="3"/>
  <c r="BL347" i="3"/>
  <c r="G350" i="3"/>
  <c r="BA351" i="3"/>
  <c r="AZ351" i="3" s="1"/>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G383" i="3"/>
  <c r="G386" i="3"/>
  <c r="BL387" i="3"/>
  <c r="BA389" i="3"/>
  <c r="AZ389" i="3" s="1"/>
  <c r="BA390" i="3"/>
  <c r="BL390" i="3"/>
  <c r="G391" i="3"/>
  <c r="G394" i="3"/>
  <c r="BA16" i="3"/>
  <c r="BL303" i="3"/>
  <c r="G304" i="3"/>
  <c r="BA306" i="3"/>
  <c r="AZ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A383" i="3"/>
  <c r="BL384" i="3"/>
  <c r="G385" i="3"/>
  <c r="BA387" i="3"/>
  <c r="BL388" i="3"/>
  <c r="G389" i="3"/>
  <c r="BA391" i="3"/>
  <c r="BL392" i="3"/>
  <c r="G393" i="3"/>
  <c r="G548" i="3"/>
  <c r="G538" i="3"/>
  <c r="G17" i="3"/>
  <c r="BA17" i="3"/>
  <c r="BA15" i="3"/>
  <c r="U36" i="40"/>
  <c r="F36" i="43"/>
  <c r="F81" i="43"/>
  <c r="H87" i="43" s="1"/>
  <c r="H113" i="43"/>
  <c r="F48" i="43"/>
  <c r="H52" i="43" s="1"/>
  <c r="F70" i="43"/>
  <c r="M11" i="43"/>
  <c r="D17" i="43"/>
  <c r="F39" i="43"/>
  <c r="I17" i="43"/>
  <c r="F35" i="43"/>
  <c r="J17" i="43"/>
  <c r="F6" i="1"/>
  <c r="G6" i="1" s="1"/>
  <c r="U35" i="21"/>
  <c r="AC35" i="21"/>
  <c r="U10" i="21"/>
  <c r="G8" i="1"/>
  <c r="G9" i="1"/>
  <c r="G10" i="1"/>
  <c r="J37" i="33"/>
  <c r="W37" i="33"/>
  <c r="F106" i="33"/>
  <c r="G106" i="33" s="1"/>
  <c r="H106" i="33" s="1"/>
  <c r="I106" i="33" s="1"/>
  <c r="J106" i="33" s="1"/>
  <c r="K106" i="33" s="1"/>
  <c r="L106" i="33" s="1"/>
  <c r="M106" i="33" s="1"/>
  <c r="J34" i="33"/>
  <c r="W34" i="33" s="1"/>
  <c r="H20" i="36"/>
  <c r="U20" i="36" s="1"/>
  <c r="J20" i="36"/>
  <c r="AC20" i="36" s="1"/>
  <c r="W20" i="36"/>
  <c r="J27" i="36"/>
  <c r="AC27" i="36" s="1"/>
  <c r="G111" i="40"/>
  <c r="H111" i="40" s="1"/>
  <c r="I111" i="40" s="1"/>
  <c r="J111" i="40" s="1"/>
  <c r="K111" i="40" s="1"/>
  <c r="L111" i="40" s="1"/>
  <c r="M111" i="40" s="1"/>
  <c r="H35" i="40"/>
  <c r="AB35" i="40" s="1"/>
  <c r="W29" i="35"/>
  <c r="H35" i="37"/>
  <c r="AB35" i="37" s="1"/>
  <c r="H20" i="35"/>
  <c r="U20" i="35" s="1"/>
  <c r="F20" i="35"/>
  <c r="AB23" i="35"/>
  <c r="AB29" i="36"/>
  <c r="U29" i="36"/>
  <c r="H32" i="37"/>
  <c r="AB32" i="37" s="1"/>
  <c r="H27" i="40"/>
  <c r="U27" i="40" s="1"/>
  <c r="J27" i="40"/>
  <c r="AC27" i="40"/>
  <c r="F27" i="40"/>
  <c r="AA27" i="40" s="1"/>
  <c r="J30" i="40"/>
  <c r="AC30" i="40" s="1"/>
  <c r="F30" i="40"/>
  <c r="AC21" i="40"/>
  <c r="S31" i="39"/>
  <c r="S11" i="40"/>
  <c r="E98" i="40"/>
  <c r="F98" i="40" s="1"/>
  <c r="G98" i="40" s="1"/>
  <c r="H98" i="40"/>
  <c r="I98" i="40" s="1"/>
  <c r="J98" i="40" s="1"/>
  <c r="K98" i="40" s="1"/>
  <c r="L98" i="40" s="1"/>
  <c r="M98" i="40" s="1"/>
  <c r="F10" i="33"/>
  <c r="S10" i="33" s="1"/>
  <c r="F34" i="33"/>
  <c r="H34" i="33"/>
  <c r="AB34" i="33" s="1"/>
  <c r="F35" i="33"/>
  <c r="AA35" i="33" s="1"/>
  <c r="F39" i="34"/>
  <c r="S39" i="34" s="1"/>
  <c r="J39" i="34"/>
  <c r="W39" i="34" s="1"/>
  <c r="F40" i="34"/>
  <c r="S40" i="34" s="1"/>
  <c r="F43" i="34"/>
  <c r="AA43" i="34" s="1"/>
  <c r="H44" i="34"/>
  <c r="AB44" i="34" s="1"/>
  <c r="AC38" i="39"/>
  <c r="F39" i="39"/>
  <c r="S39" i="39" s="1"/>
  <c r="J39" i="39"/>
  <c r="AC39" i="39" s="1"/>
  <c r="E96" i="39"/>
  <c r="F96" i="39" s="1"/>
  <c r="G96" i="39" s="1"/>
  <c r="C40" i="11"/>
  <c r="I20" i="43"/>
  <c r="F23" i="39"/>
  <c r="AA23" i="39" s="1"/>
  <c r="H27" i="36"/>
  <c r="AB27" i="36" s="1"/>
  <c r="F27" i="36"/>
  <c r="S27" i="36" s="1"/>
  <c r="F32" i="37"/>
  <c r="G96" i="37"/>
  <c r="H96" i="37" s="1"/>
  <c r="I96" i="37"/>
  <c r="J96" i="37" s="1"/>
  <c r="K96" i="37" s="1"/>
  <c r="L96" i="37" s="1"/>
  <c r="M96" i="37" s="1"/>
  <c r="F20" i="36"/>
  <c r="AA20" i="36" s="1"/>
  <c r="H23" i="39"/>
  <c r="U23" i="39" s="1"/>
  <c r="D48" i="9"/>
  <c r="M52" i="9" s="1"/>
  <c r="K9" i="1"/>
  <c r="M9" i="1" s="1"/>
  <c r="AE9" i="1"/>
  <c r="D93" i="9"/>
  <c r="AC26" i="33"/>
  <c r="W26" i="33"/>
  <c r="AC12" i="39"/>
  <c r="BL14" i="3"/>
  <c r="S19" i="39"/>
  <c r="F12" i="33"/>
  <c r="S12" i="33" s="1"/>
  <c r="H12" i="39"/>
  <c r="U12" i="39" s="1"/>
  <c r="AB12" i="39"/>
  <c r="F39" i="40"/>
  <c r="S39" i="40" s="1"/>
  <c r="BA14" i="3"/>
  <c r="S12" i="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B41" i="1"/>
  <c r="F30" i="11" s="1"/>
  <c r="J100" i="43"/>
  <c r="AB37" i="40"/>
  <c r="S17" i="40"/>
  <c r="AC17" i="40"/>
  <c r="AC15" i="40"/>
  <c r="AA19" i="40"/>
  <c r="U21" i="40"/>
  <c r="F32" i="39"/>
  <c r="S32" i="39" s="1"/>
  <c r="AB27" i="39"/>
  <c r="U31" i="39"/>
  <c r="J21" i="39"/>
  <c r="W21" i="39" s="1"/>
  <c r="F21" i="39"/>
  <c r="AA21" i="39" s="1"/>
  <c r="G94" i="39"/>
  <c r="H21" i="39"/>
  <c r="AB21" i="39" s="1"/>
  <c r="W19" i="39"/>
  <c r="S17" i="39"/>
  <c r="S9" i="39"/>
  <c r="AC13" i="39"/>
  <c r="U13" i="36"/>
  <c r="U26" i="36"/>
  <c r="S29" i="36"/>
  <c r="AC26" i="36"/>
  <c r="AA22" i="36"/>
  <c r="AB14" i="36"/>
  <c r="U22" i="36"/>
  <c r="S16" i="36"/>
  <c r="S24" i="36"/>
  <c r="U23" i="36"/>
  <c r="S14" i="36"/>
  <c r="U10" i="36"/>
  <c r="S23" i="35"/>
  <c r="U29" i="35"/>
  <c r="U28" i="35"/>
  <c r="AB27" i="35"/>
  <c r="U32" i="35"/>
  <c r="AC30" i="35"/>
  <c r="S32" i="35"/>
  <c r="W32" i="35"/>
  <c r="S28" i="35"/>
  <c r="U22" i="35"/>
  <c r="AC20" i="35"/>
  <c r="S22" i="35"/>
  <c r="AC10" i="35"/>
  <c r="AB10" i="35"/>
  <c r="F9" i="35"/>
  <c r="AA9" i="35" s="1"/>
  <c r="F26" i="35"/>
  <c r="S25" i="37"/>
  <c r="W27" i="37"/>
  <c r="U29" i="37"/>
  <c r="W38" i="37"/>
  <c r="S37" i="37"/>
  <c r="AC15" i="37"/>
  <c r="J17" i="37"/>
  <c r="W17" i="37"/>
  <c r="G73" i="37"/>
  <c r="F17" i="37"/>
  <c r="F75" i="37"/>
  <c r="F19" i="37"/>
  <c r="S19" i="37" s="1"/>
  <c r="F23" i="37"/>
  <c r="S23" i="37" s="1"/>
  <c r="U15" i="37"/>
  <c r="H10" i="37"/>
  <c r="U10" i="37" s="1"/>
  <c r="H60" i="37"/>
  <c r="I60" i="37" s="1"/>
  <c r="F63" i="37"/>
  <c r="G63" i="37" s="1"/>
  <c r="H63" i="37" s="1"/>
  <c r="I63" i="37" s="1"/>
  <c r="J63" i="37" s="1"/>
  <c r="K63" i="37" s="1"/>
  <c r="L63" i="37" s="1"/>
  <c r="M63" i="37" s="1"/>
  <c r="F11" i="37"/>
  <c r="AA11" i="37" s="1"/>
  <c r="U39" i="34"/>
  <c r="W42" i="33"/>
  <c r="S32" i="33"/>
  <c r="W38" i="33"/>
  <c r="H41" i="33"/>
  <c r="AB41" i="33" s="1"/>
  <c r="F36" i="33"/>
  <c r="S36" i="33" s="1"/>
  <c r="J35" i="33"/>
  <c r="S37" i="33"/>
  <c r="G101" i="33"/>
  <c r="H101" i="33" s="1"/>
  <c r="I101" i="33" s="1"/>
  <c r="J101" i="33" s="1"/>
  <c r="K101" i="33" s="1"/>
  <c r="L101" i="33" s="1"/>
  <c r="M101" i="33" s="1"/>
  <c r="J32" i="33"/>
  <c r="W32" i="33" s="1"/>
  <c r="S43" i="33"/>
  <c r="H25" i="33"/>
  <c r="F25" i="33"/>
  <c r="J23" i="33"/>
  <c r="AC23" i="33" s="1"/>
  <c r="F85" i="33"/>
  <c r="G85" i="33" s="1"/>
  <c r="H23" i="33"/>
  <c r="AB23" i="33" s="1"/>
  <c r="F81" i="33"/>
  <c r="G81" i="33" s="1"/>
  <c r="F19" i="33"/>
  <c r="J17" i="33"/>
  <c r="W17" i="33" s="1"/>
  <c r="F79" i="33"/>
  <c r="G79" i="33" s="1"/>
  <c r="S15" i="33"/>
  <c r="W15" i="33"/>
  <c r="J10" i="33"/>
  <c r="AC10" i="33" s="1"/>
  <c r="H10" i="33"/>
  <c r="W43" i="21"/>
  <c r="W41" i="21"/>
  <c r="AB39" i="21"/>
  <c r="AA43" i="21"/>
  <c r="S39" i="21"/>
  <c r="AA38" i="21"/>
  <c r="AA36" i="21"/>
  <c r="AC40" i="21"/>
  <c r="J15" i="21"/>
  <c r="F77" i="21"/>
  <c r="G77" i="21" s="1"/>
  <c r="F23" i="21"/>
  <c r="AA23" i="21" s="1"/>
  <c r="S23" i="21"/>
  <c r="AA14" i="21"/>
  <c r="AB8" i="21"/>
  <c r="S8" i="21"/>
  <c r="M3" i="43"/>
  <c r="M1" i="43"/>
  <c r="N8" i="43"/>
  <c r="C18" i="9"/>
  <c r="D18" i="9" s="1"/>
  <c r="F34" i="67"/>
  <c r="F62" i="67" s="1"/>
  <c r="M20" i="67"/>
  <c r="F34" i="15"/>
  <c r="F62" i="15" s="1"/>
  <c r="G13" i="3"/>
  <c r="BA13" i="3"/>
  <c r="BL17" i="3"/>
  <c r="AZ17"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c r="F100" i="43"/>
  <c r="H17" i="43"/>
  <c r="H84"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s="1"/>
  <c r="B14" i="72" s="1"/>
  <c r="A4" i="51"/>
  <c r="B6" i="72" s="1"/>
  <c r="C4" i="12"/>
  <c r="L20" i="6"/>
  <c r="B6" i="1"/>
  <c r="E6" i="1" s="1"/>
  <c r="S8" i="1"/>
  <c r="AQ8" i="1" s="1"/>
  <c r="K11" i="1"/>
  <c r="M11" i="1" s="1"/>
  <c r="O11" i="1" s="1"/>
  <c r="P11" i="1" s="1"/>
  <c r="AP6" i="1"/>
  <c r="B9" i="1"/>
  <c r="E9" i="1" s="1"/>
  <c r="K7" i="1"/>
  <c r="G1" i="15"/>
  <c r="G1" i="69"/>
  <c r="G1" i="67"/>
  <c r="W23" i="40"/>
  <c r="AB31" i="40"/>
  <c r="S37" i="40"/>
  <c r="W28" i="40"/>
  <c r="W34" i="40"/>
  <c r="W27" i="40"/>
  <c r="S36" i="40"/>
  <c r="W37" i="40"/>
  <c r="U11" i="40"/>
  <c r="U15" i="40"/>
  <c r="AB17" i="40"/>
  <c r="U8" i="40"/>
  <c r="S8" i="40"/>
  <c r="U42" i="39"/>
  <c r="U13" i="39"/>
  <c r="AB11" i="39"/>
  <c r="U11" i="39"/>
  <c r="AA27" i="39"/>
  <c r="W17" i="39"/>
  <c r="W31" i="39"/>
  <c r="AC31" i="39"/>
  <c r="S23" i="39"/>
  <c r="AB39" i="39"/>
  <c r="U38" i="39"/>
  <c r="S20" i="36"/>
  <c r="AC25" i="36"/>
  <c r="S28" i="36"/>
  <c r="U32" i="36"/>
  <c r="W29" i="36"/>
  <c r="AA13" i="36"/>
  <c r="W22" i="36"/>
  <c r="W23" i="36"/>
  <c r="W33" i="35"/>
  <c r="AA35" i="37"/>
  <c r="W36" i="37"/>
  <c r="S28" i="37"/>
  <c r="U36" i="37"/>
  <c r="S33" i="37"/>
  <c r="AC34" i="37"/>
  <c r="AA29" i="37"/>
  <c r="AC46" i="34"/>
  <c r="U30" i="34"/>
  <c r="AB30" i="34"/>
  <c r="AA19" i="34"/>
  <c r="AA36" i="34"/>
  <c r="AA8" i="34"/>
  <c r="S8" i="34"/>
  <c r="S46" i="34"/>
  <c r="U32" i="34"/>
  <c r="W23" i="34"/>
  <c r="AC23" i="34"/>
  <c r="AC35" i="34"/>
  <c r="W35" i="34"/>
  <c r="U12" i="34"/>
  <c r="AB12" i="34"/>
  <c r="AC37" i="33"/>
  <c r="W46" i="33"/>
  <c r="U39" i="33"/>
  <c r="S33" i="33"/>
  <c r="S11" i="33"/>
  <c r="S28" i="33"/>
  <c r="W8" i="33"/>
  <c r="F33" i="21"/>
  <c r="J33" i="21"/>
  <c r="AC33" i="21" s="1"/>
  <c r="H33" i="21"/>
  <c r="AB33" i="21" s="1"/>
  <c r="F37" i="21"/>
  <c r="S37" i="21" s="1"/>
  <c r="AA37" i="21"/>
  <c r="U40" i="21"/>
  <c r="U31" i="21"/>
  <c r="J37" i="21"/>
  <c r="W37" i="21"/>
  <c r="H15" i="21"/>
  <c r="AB15" i="21" s="1"/>
  <c r="U15" i="21"/>
  <c r="J17" i="21"/>
  <c r="AC17" i="21" s="1"/>
  <c r="AC19" i="21"/>
  <c r="H45" i="21"/>
  <c r="F29" i="21"/>
  <c r="S29" i="21"/>
  <c r="AC38" i="21"/>
  <c r="H32" i="21"/>
  <c r="U32" i="21" s="1"/>
  <c r="H9" i="21"/>
  <c r="J9" i="21"/>
  <c r="J32" i="21"/>
  <c r="F32" i="21"/>
  <c r="W29" i="21"/>
  <c r="S19" i="21"/>
  <c r="S9" i="21"/>
  <c r="AA9" i="21"/>
  <c r="K141" i="21"/>
  <c r="K144" i="21"/>
  <c r="K143" i="21"/>
  <c r="W42" i="21"/>
  <c r="F10" i="21"/>
  <c r="K145" i="21"/>
  <c r="W25" i="21"/>
  <c r="AA29" i="21"/>
  <c r="AA15" i="21"/>
  <c r="AC26" i="21"/>
  <c r="AC34" i="21"/>
  <c r="W10" i="21"/>
  <c r="AB36" i="21"/>
  <c r="W30" i="40"/>
  <c r="C19" i="39"/>
  <c r="C23" i="40"/>
  <c r="C21" i="40"/>
  <c r="U30" i="40"/>
  <c r="B54" i="43"/>
  <c r="B52" i="43"/>
  <c r="B56" i="43"/>
  <c r="B63" i="43"/>
  <c r="B67" i="43"/>
  <c r="D23" i="15"/>
  <c r="D22" i="15"/>
  <c r="E4" i="4"/>
  <c r="B5" i="62" s="1"/>
  <c r="B73" i="72" s="1"/>
  <c r="C4" i="4"/>
  <c r="F32" i="67"/>
  <c r="F60" i="67" s="1"/>
  <c r="F28" i="15"/>
  <c r="AR11" i="1"/>
  <c r="S7" i="1"/>
  <c r="AQ7" i="1" s="1"/>
  <c r="E7" i="70"/>
  <c r="AA39" i="40"/>
  <c r="AA12" i="33"/>
  <c r="J32" i="39"/>
  <c r="AC32" i="39" s="1"/>
  <c r="H32" i="39"/>
  <c r="AB32" i="39" s="1"/>
  <c r="AA32" i="39"/>
  <c r="AC17" i="37"/>
  <c r="J19" i="37"/>
  <c r="AC19" i="37" s="1"/>
  <c r="G75" i="37"/>
  <c r="AA19" i="37"/>
  <c r="AA23" i="37"/>
  <c r="J23" i="37"/>
  <c r="W23" i="37" s="1"/>
  <c r="G79" i="37"/>
  <c r="J10" i="37"/>
  <c r="W10" i="37" s="1"/>
  <c r="H11" i="37"/>
  <c r="U11" i="37" s="1"/>
  <c r="AB10" i="37"/>
  <c r="J10" i="34"/>
  <c r="AC10" i="34" s="1"/>
  <c r="U41" i="33"/>
  <c r="J36" i="33"/>
  <c r="W36" i="33" s="1"/>
  <c r="H36" i="33"/>
  <c r="H91" i="33"/>
  <c r="I91" i="33" s="1"/>
  <c r="J91" i="33" s="1"/>
  <c r="K91" i="33" s="1"/>
  <c r="L91" i="33" s="1"/>
  <c r="M91" i="33" s="1"/>
  <c r="S25" i="33"/>
  <c r="AA25" i="33"/>
  <c r="G87" i="33"/>
  <c r="H87" i="33" s="1"/>
  <c r="I87" i="33" s="1"/>
  <c r="J87" i="33" s="1"/>
  <c r="K87" i="33" s="1"/>
  <c r="L87" i="33" s="1"/>
  <c r="M87" i="33" s="1"/>
  <c r="J25" i="33"/>
  <c r="W25" i="33" s="1"/>
  <c r="U23" i="33"/>
  <c r="F23" i="33"/>
  <c r="H19" i="33"/>
  <c r="AB19" i="33" s="1"/>
  <c r="H17" i="33"/>
  <c r="U17" i="33" s="1"/>
  <c r="F17" i="33"/>
  <c r="AA17" i="33" s="1"/>
  <c r="AC17" i="33"/>
  <c r="AC37" i="21"/>
  <c r="U33" i="21"/>
  <c r="J23" i="21"/>
  <c r="AC23" i="21" s="1"/>
  <c r="H23" i="21"/>
  <c r="AB23" i="21" s="1"/>
  <c r="AP7" i="1"/>
  <c r="W32" i="21"/>
  <c r="AC32" i="21"/>
  <c r="AA32" i="21"/>
  <c r="S32" i="21"/>
  <c r="E6" i="70"/>
  <c r="A18" i="62"/>
  <c r="B64" i="72" s="1"/>
  <c r="W32" i="39"/>
  <c r="W19" i="37"/>
  <c r="J11" i="37"/>
  <c r="W11" i="37" s="1"/>
  <c r="AC36" i="33"/>
  <c r="U19" i="33"/>
  <c r="S17" i="33"/>
  <c r="AB17" i="33"/>
  <c r="W23" i="21"/>
  <c r="R7" i="1"/>
  <c r="F34" i="11"/>
  <c r="F11" i="12"/>
  <c r="C23" i="12" s="1"/>
  <c r="F34" i="68"/>
  <c r="R8" i="1"/>
  <c r="AE7" i="1"/>
  <c r="AE8" i="1"/>
  <c r="AE6" i="1"/>
  <c r="AG6" i="1"/>
  <c r="H109" i="9"/>
  <c r="H112" i="9"/>
  <c r="D21" i="53" s="1"/>
  <c r="B39" i="72" s="1"/>
  <c r="H111" i="9"/>
  <c r="AD3" i="71"/>
  <c r="J1" i="73"/>
  <c r="C77" i="9"/>
  <c r="C74" i="9" s="1"/>
  <c r="H51" i="43"/>
  <c r="M4" i="43"/>
  <c r="M5" i="43"/>
  <c r="N12" i="43"/>
  <c r="N11" i="43"/>
  <c r="M10" i="43"/>
  <c r="M2" i="43"/>
  <c r="M7" i="43"/>
  <c r="N9" i="43"/>
  <c r="M8" i="43"/>
  <c r="N10" i="43"/>
  <c r="H48" i="43"/>
  <c r="M6" i="43"/>
  <c r="N7" i="43"/>
  <c r="N4" i="43"/>
  <c r="N2" i="43"/>
  <c r="N17" i="43"/>
  <c r="L17" i="43"/>
  <c r="O17" i="43"/>
  <c r="M17" i="43"/>
  <c r="E17" i="43"/>
  <c r="G46" i="36"/>
  <c r="H46" i="36" s="1"/>
  <c r="I46" i="36" s="1"/>
  <c r="C19" i="71"/>
  <c r="D19" i="71"/>
  <c r="D20" i="71"/>
  <c r="D21" i="71"/>
  <c r="U21" i="71" s="1"/>
  <c r="S21" i="71"/>
  <c r="T21" i="71"/>
  <c r="AB19" i="71"/>
  <c r="X17" i="71"/>
  <c r="X16" i="71"/>
  <c r="AA17" i="71"/>
  <c r="AA16" i="71"/>
  <c r="X20" i="71"/>
  <c r="Y16" i="71"/>
  <c r="Z16" i="71" s="1"/>
  <c r="AB17" i="71"/>
  <c r="AB16" i="71"/>
  <c r="C94" i="9"/>
  <c r="C92" i="9"/>
  <c r="Y17" i="71"/>
  <c r="Z17" i="71" s="1"/>
  <c r="X3" i="71"/>
  <c r="C18" i="71"/>
  <c r="C17" i="71" s="1"/>
  <c r="D17" i="71" s="1"/>
  <c r="G20" i="43"/>
  <c r="E10" i="76"/>
  <c r="AO8" i="1"/>
  <c r="AO12" i="1"/>
  <c r="E7" i="76"/>
  <c r="AO13" i="1"/>
  <c r="B11" i="76"/>
  <c r="F40" i="67"/>
  <c r="E11" i="76"/>
  <c r="B13" i="76"/>
  <c r="B9" i="76"/>
  <c r="AO10" i="1"/>
  <c r="D2" i="35"/>
  <c r="F26" i="67"/>
  <c r="F38" i="67"/>
  <c r="D2" i="34"/>
  <c r="E9" i="76"/>
  <c r="D35" i="9"/>
  <c r="E2" i="69"/>
  <c r="AO6" i="1"/>
  <c r="D4" i="73"/>
  <c r="AO11" i="1"/>
  <c r="E12" i="76"/>
  <c r="M24" i="67"/>
  <c r="B10" i="76"/>
  <c r="F16" i="67"/>
  <c r="C76" i="15"/>
  <c r="B7" i="76"/>
  <c r="F7" i="73"/>
  <c r="F4" i="73"/>
  <c r="E13" i="76"/>
  <c r="AO7" i="1"/>
  <c r="F42" i="67"/>
  <c r="F5" i="73"/>
  <c r="D2" i="36"/>
  <c r="B8" i="76"/>
  <c r="D6" i="73"/>
  <c r="F3" i="73"/>
  <c r="D5" i="73"/>
  <c r="M26" i="67"/>
  <c r="M23" i="67"/>
  <c r="AO9" i="1"/>
  <c r="M9" i="15"/>
  <c r="M8" i="67"/>
  <c r="F20" i="31"/>
  <c r="D2" i="33"/>
  <c r="D34" i="9"/>
  <c r="D2" i="37"/>
  <c r="E8" i="76"/>
  <c r="F6" i="73"/>
  <c r="D2" i="21"/>
  <c r="B12" i="76"/>
  <c r="E2" i="68"/>
  <c r="W40" i="40" l="1"/>
  <c r="AC40" i="40"/>
  <c r="C36" i="69"/>
  <c r="AC44" i="33"/>
  <c r="W44" i="33"/>
  <c r="T8" i="1"/>
  <c r="H33" i="36"/>
  <c r="J33" i="36"/>
  <c r="F54" i="9"/>
  <c r="M18" i="67"/>
  <c r="W23" i="35"/>
  <c r="W28" i="21"/>
  <c r="AC28" i="21"/>
  <c r="U34" i="21"/>
  <c r="AB34" i="21"/>
  <c r="H14" i="33"/>
  <c r="U14" i="33" s="1"/>
  <c r="J14" i="33"/>
  <c r="W14" i="33" s="1"/>
  <c r="F34" i="35"/>
  <c r="J34" i="35"/>
  <c r="H34" i="35"/>
  <c r="U8" i="37"/>
  <c r="AA34" i="21"/>
  <c r="S34" i="21"/>
  <c r="F29" i="33"/>
  <c r="H29" i="33"/>
  <c r="J29" i="33"/>
  <c r="AC29" i="33" s="1"/>
  <c r="F12" i="35"/>
  <c r="H12" i="35"/>
  <c r="AB12" i="37"/>
  <c r="U12" i="37"/>
  <c r="J39" i="37"/>
  <c r="F39" i="37"/>
  <c r="H39" i="37"/>
  <c r="AB39" i="37" s="1"/>
  <c r="AB32" i="21"/>
  <c r="F28" i="21"/>
  <c r="H28" i="21"/>
  <c r="AA10" i="37"/>
  <c r="S10" i="37"/>
  <c r="AB35" i="33"/>
  <c r="U35" i="33"/>
  <c r="AZ364" i="3"/>
  <c r="AB36" i="39"/>
  <c r="U36" i="39"/>
  <c r="AA35" i="21"/>
  <c r="S35" i="21"/>
  <c r="F47" i="34"/>
  <c r="H47" i="34"/>
  <c r="BA563" i="3"/>
  <c r="AZ357" i="3"/>
  <c r="AZ387" i="3"/>
  <c r="F14" i="34"/>
  <c r="H14" i="34"/>
  <c r="J14" i="34"/>
  <c r="H60" i="43"/>
  <c r="D18" i="71"/>
  <c r="U17" i="71" s="1"/>
  <c r="C24" i="12"/>
  <c r="H59" i="43"/>
  <c r="C36" i="11"/>
  <c r="S21" i="39"/>
  <c r="AB25" i="21"/>
  <c r="AB37" i="21"/>
  <c r="AC25" i="35"/>
  <c r="H64" i="43"/>
  <c r="AC12" i="35"/>
  <c r="S15" i="39"/>
  <c r="F12" i="37"/>
  <c r="AA13" i="39"/>
  <c r="S13" i="39"/>
  <c r="W37" i="37"/>
  <c r="AC37" i="37"/>
  <c r="AB17" i="39"/>
  <c r="U17" i="39"/>
  <c r="AA31" i="35"/>
  <c r="H9" i="37"/>
  <c r="J9" i="37"/>
  <c r="W9" i="37" s="1"/>
  <c r="J37" i="39"/>
  <c r="F37" i="39"/>
  <c r="S20" i="35"/>
  <c r="AA20" i="35"/>
  <c r="U33" i="37"/>
  <c r="AB33" i="37"/>
  <c r="S14" i="33"/>
  <c r="AA14" i="33"/>
  <c r="AC27" i="39"/>
  <c r="W27" i="39"/>
  <c r="AC39" i="21"/>
  <c r="W39" i="21"/>
  <c r="AA8" i="36"/>
  <c r="S8" i="36"/>
  <c r="H40" i="40"/>
  <c r="F40" i="40"/>
  <c r="AZ566" i="3"/>
  <c r="H61" i="43"/>
  <c r="AR8" i="1"/>
  <c r="L27" i="6"/>
  <c r="S30" i="37"/>
  <c r="AZ313" i="3"/>
  <c r="F33" i="40"/>
  <c r="S33" i="40" s="1"/>
  <c r="F33" i="36"/>
  <c r="AA33" i="36" s="1"/>
  <c r="F35" i="35"/>
  <c r="J35" i="35"/>
  <c r="W19" i="40"/>
  <c r="H63" i="43"/>
  <c r="U27" i="21"/>
  <c r="AB27" i="21"/>
  <c r="H67" i="43"/>
  <c r="AB42" i="21"/>
  <c r="AB20" i="35"/>
  <c r="W36" i="21"/>
  <c r="W19" i="33"/>
  <c r="W30" i="37"/>
  <c r="AB20" i="36"/>
  <c r="U27" i="36"/>
  <c r="U34" i="33"/>
  <c r="AZ330" i="3"/>
  <c r="AZ329" i="3"/>
  <c r="H62" i="43"/>
  <c r="J12" i="37"/>
  <c r="AC12" i="37" s="1"/>
  <c r="F13" i="34"/>
  <c r="AA13" i="34" s="1"/>
  <c r="W32" i="36"/>
  <c r="AC32" i="36"/>
  <c r="AB11" i="33"/>
  <c r="U11" i="33"/>
  <c r="S15" i="40"/>
  <c r="AA15" i="40"/>
  <c r="AB23" i="40"/>
  <c r="AA30" i="40"/>
  <c r="S30" i="40"/>
  <c r="AC43" i="33"/>
  <c r="W43" i="33"/>
  <c r="U30" i="21"/>
  <c r="AB30" i="21"/>
  <c r="AC29" i="37"/>
  <c r="U24" i="36"/>
  <c r="AA26" i="36"/>
  <c r="U37" i="39"/>
  <c r="AZ305" i="3"/>
  <c r="W47" i="34"/>
  <c r="S42" i="33"/>
  <c r="AA42" i="33"/>
  <c r="BL547" i="3"/>
  <c r="AA13" i="33"/>
  <c r="S13" i="33"/>
  <c r="J30" i="21"/>
  <c r="AA28" i="34"/>
  <c r="S28" i="34"/>
  <c r="S11" i="21"/>
  <c r="AA11" i="21"/>
  <c r="BL586" i="3"/>
  <c r="J9" i="35"/>
  <c r="W9" i="35" s="1"/>
  <c r="H9" i="35"/>
  <c r="W35" i="37"/>
  <c r="AC35" i="37"/>
  <c r="J12" i="40"/>
  <c r="W12" i="40" s="1"/>
  <c r="F12" i="40"/>
  <c r="H12" i="40"/>
  <c r="BA531" i="3"/>
  <c r="F13" i="40"/>
  <c r="AA13" i="40" s="1"/>
  <c r="S9" i="34"/>
  <c r="J27" i="21"/>
  <c r="W27" i="21" s="1"/>
  <c r="F27" i="21"/>
  <c r="AA42" i="21"/>
  <c r="S42" i="21"/>
  <c r="AZ321" i="3"/>
  <c r="AZ311" i="3"/>
  <c r="J28" i="33"/>
  <c r="H28" i="33"/>
  <c r="E124" i="34"/>
  <c r="F124" i="34" s="1"/>
  <c r="G124" i="34" s="1"/>
  <c r="H124" i="34" s="1"/>
  <c r="I124" i="34" s="1"/>
  <c r="J124" i="34" s="1"/>
  <c r="K124" i="34" s="1"/>
  <c r="L124" i="34" s="1"/>
  <c r="M124" i="34" s="1"/>
  <c r="J43" i="34"/>
  <c r="W28" i="35"/>
  <c r="AC28" i="35"/>
  <c r="H44" i="33"/>
  <c r="F44" i="33"/>
  <c r="AA44" i="33" s="1"/>
  <c r="U41" i="21"/>
  <c r="AB41" i="21"/>
  <c r="AC41" i="33"/>
  <c r="W41" i="33"/>
  <c r="BL550" i="3"/>
  <c r="BL541" i="3"/>
  <c r="BL537" i="3"/>
  <c r="BA537" i="3"/>
  <c r="AZ537" i="3" s="1"/>
  <c r="BL534" i="3"/>
  <c r="BA534" i="3"/>
  <c r="AZ534" i="3" s="1"/>
  <c r="BA532" i="3"/>
  <c r="BL530" i="3"/>
  <c r="BA529" i="3"/>
  <c r="BL528" i="3"/>
  <c r="BL527" i="3"/>
  <c r="BA527" i="3"/>
  <c r="AZ527" i="3" s="1"/>
  <c r="BL524" i="3"/>
  <c r="BL522" i="3"/>
  <c r="BA521" i="3"/>
  <c r="AZ521" i="3" s="1"/>
  <c r="BA520" i="3"/>
  <c r="BA519" i="3"/>
  <c r="BL518" i="3"/>
  <c r="BA518" i="3"/>
  <c r="BL515" i="3"/>
  <c r="BA514" i="3"/>
  <c r="BA513" i="3"/>
  <c r="BL511" i="3"/>
  <c r="BL508" i="3"/>
  <c r="BL507" i="3"/>
  <c r="BL503" i="3"/>
  <c r="BA501" i="3"/>
  <c r="BA500" i="3"/>
  <c r="AZ500" i="3" s="1"/>
  <c r="BL499" i="3"/>
  <c r="BA499" i="3"/>
  <c r="AZ499" i="3" s="1"/>
  <c r="BR5" i="3"/>
  <c r="BA498" i="3"/>
  <c r="BD5" i="3"/>
  <c r="BA495" i="3"/>
  <c r="AZ495" i="3" s="1"/>
  <c r="BA493" i="3"/>
  <c r="AZ371" i="3"/>
  <c r="AZ310" i="3"/>
  <c r="AZ325" i="3"/>
  <c r="AA36" i="39"/>
  <c r="BL543" i="3"/>
  <c r="AZ543" i="3" s="1"/>
  <c r="BL565" i="3"/>
  <c r="G586" i="3"/>
  <c r="F9" i="36"/>
  <c r="J9" i="36"/>
  <c r="BL582" i="3"/>
  <c r="AZ582" i="3" s="1"/>
  <c r="G565" i="3"/>
  <c r="BA552" i="3"/>
  <c r="BA546" i="3"/>
  <c r="J12" i="21"/>
  <c r="F12" i="21"/>
  <c r="F9" i="33"/>
  <c r="J9" i="33"/>
  <c r="S34" i="39"/>
  <c r="AA34" i="39"/>
  <c r="AA34" i="40"/>
  <c r="S34" i="40"/>
  <c r="H38" i="40"/>
  <c r="J38" i="40"/>
  <c r="BL403" i="3"/>
  <c r="BL130" i="3"/>
  <c r="G567" i="3"/>
  <c r="G537" i="3"/>
  <c r="G495" i="3"/>
  <c r="G493" i="3"/>
  <c r="BL400" i="3"/>
  <c r="BL448" i="3"/>
  <c r="BL456" i="3"/>
  <c r="G465" i="3"/>
  <c r="BA388" i="3"/>
  <c r="AZ388" i="3" s="1"/>
  <c r="BL271" i="3"/>
  <c r="BA278" i="3"/>
  <c r="BL282" i="3"/>
  <c r="BA18" i="3"/>
  <c r="BL18" i="3"/>
  <c r="BL38" i="3"/>
  <c r="B76" i="71"/>
  <c r="B75" i="71" s="1"/>
  <c r="S77" i="71"/>
  <c r="G578" i="3"/>
  <c r="G555" i="3"/>
  <c r="K6" i="1"/>
  <c r="M6" i="1" s="1"/>
  <c r="O6" i="1" s="1"/>
  <c r="BL447" i="3"/>
  <c r="G464" i="3"/>
  <c r="BL312" i="3"/>
  <c r="AZ312" i="3" s="1"/>
  <c r="BL209" i="3"/>
  <c r="BA235" i="3"/>
  <c r="BA239" i="3"/>
  <c r="BL277" i="3"/>
  <c r="BL58" i="3"/>
  <c r="B55" i="43"/>
  <c r="B75" i="43"/>
  <c r="B72" i="71"/>
  <c r="B71" i="71" s="1"/>
  <c r="S73" i="71"/>
  <c r="BL525" i="3"/>
  <c r="BL561" i="3"/>
  <c r="G562" i="3"/>
  <c r="BL406" i="3"/>
  <c r="BL452" i="3"/>
  <c r="BL488" i="3"/>
  <c r="BL333" i="3"/>
  <c r="G364" i="3"/>
  <c r="BL365" i="3"/>
  <c r="AZ365" i="3" s="1"/>
  <c r="BL367" i="3"/>
  <c r="G221" i="3"/>
  <c r="BA247" i="3"/>
  <c r="BL181" i="3"/>
  <c r="BA188" i="3"/>
  <c r="AZ188" i="3" s="1"/>
  <c r="G38" i="3"/>
  <c r="AC21" i="33"/>
  <c r="W21" i="33"/>
  <c r="BL429" i="3"/>
  <c r="BL330" i="3"/>
  <c r="G381" i="3"/>
  <c r="BL395" i="3"/>
  <c r="BL208" i="3"/>
  <c r="BA241" i="3"/>
  <c r="G278" i="3"/>
  <c r="G291" i="3"/>
  <c r="G118" i="3"/>
  <c r="G134" i="3"/>
  <c r="K13" i="1"/>
  <c r="M13" i="1" s="1"/>
  <c r="O13" i="1" s="1"/>
  <c r="P13" i="1" s="1"/>
  <c r="V65" i="71"/>
  <c r="Q65" i="71"/>
  <c r="F64" i="71"/>
  <c r="F63" i="71" s="1"/>
  <c r="Q63" i="71" s="1"/>
  <c r="E5" i="6"/>
  <c r="G554" i="3"/>
  <c r="BA414" i="3"/>
  <c r="BL424" i="3"/>
  <c r="BA427" i="3"/>
  <c r="AZ427" i="3" s="1"/>
  <c r="BL434" i="3"/>
  <c r="BA489" i="3"/>
  <c r="BA307" i="3"/>
  <c r="AZ307" i="3" s="1"/>
  <c r="G299" i="3"/>
  <c r="G160" i="3"/>
  <c r="BL67" i="3"/>
  <c r="BA92" i="3"/>
  <c r="B8" i="1"/>
  <c r="E8" i="1" s="1"/>
  <c r="K8" i="1"/>
  <c r="M8" i="1" s="1"/>
  <c r="O8" i="1" s="1"/>
  <c r="P8" i="1" s="1"/>
  <c r="G570" i="3"/>
  <c r="BL548" i="3"/>
  <c r="AZ548" i="3" s="1"/>
  <c r="G405" i="3"/>
  <c r="G422" i="3"/>
  <c r="G459" i="3"/>
  <c r="G467" i="3"/>
  <c r="BA486" i="3"/>
  <c r="BA275" i="3"/>
  <c r="G276" i="3"/>
  <c r="G116" i="3"/>
  <c r="G124" i="3"/>
  <c r="BA129" i="3"/>
  <c r="G132" i="3"/>
  <c r="G148" i="3"/>
  <c r="G159" i="3"/>
  <c r="G168" i="3"/>
  <c r="BA61" i="3"/>
  <c r="W18" i="35"/>
  <c r="G46" i="3"/>
  <c r="P27" i="6"/>
  <c r="AA35" i="71"/>
  <c r="B68" i="71"/>
  <c r="B67" i="71" s="1"/>
  <c r="U18" i="35"/>
  <c r="E40" i="71"/>
  <c r="E41" i="71" s="1"/>
  <c r="U41" i="71" s="1"/>
  <c r="E48" i="71"/>
  <c r="G400" i="3"/>
  <c r="BL410" i="3"/>
  <c r="BL412" i="3"/>
  <c r="G421" i="3"/>
  <c r="BL440" i="3"/>
  <c r="BA449" i="3"/>
  <c r="BL473" i="3"/>
  <c r="BA474" i="3"/>
  <c r="G228" i="3"/>
  <c r="BL228" i="3"/>
  <c r="G268" i="3"/>
  <c r="BA274" i="3"/>
  <c r="BA126" i="3"/>
  <c r="G147" i="3"/>
  <c r="BL153" i="3"/>
  <c r="BL50" i="3"/>
  <c r="BA54" i="3"/>
  <c r="BA55" i="3"/>
  <c r="BA58" i="3"/>
  <c r="AZ58" i="3" s="1"/>
  <c r="G107" i="3"/>
  <c r="D73" i="71"/>
  <c r="B52" i="71"/>
  <c r="E60" i="71"/>
  <c r="E61" i="71" s="1"/>
  <c r="U61" i="71" s="1"/>
  <c r="B18" i="71"/>
  <c r="B17" i="71" s="1"/>
  <c r="BL415" i="3"/>
  <c r="G419" i="3"/>
  <c r="G420" i="3"/>
  <c r="G430" i="3"/>
  <c r="BL430" i="3"/>
  <c r="BA465" i="3"/>
  <c r="G227" i="3"/>
  <c r="G250" i="3"/>
  <c r="G294" i="3"/>
  <c r="G128" i="3"/>
  <c r="BL143" i="3"/>
  <c r="G166" i="3"/>
  <c r="BL170" i="3"/>
  <c r="BL174" i="3"/>
  <c r="BL25" i="3"/>
  <c r="G43" i="3"/>
  <c r="BA49" i="3"/>
  <c r="BL78" i="3"/>
  <c r="BA100" i="3"/>
  <c r="BA101" i="3"/>
  <c r="BL103" i="3"/>
  <c r="AC21" i="37"/>
  <c r="W29" i="39"/>
  <c r="F48" i="71"/>
  <c r="F49" i="71" s="1"/>
  <c r="V49" i="71" s="1"/>
  <c r="C56" i="71"/>
  <c r="C57" i="71" s="1"/>
  <c r="AH10" i="43"/>
  <c r="G7" i="1"/>
  <c r="BA404" i="3"/>
  <c r="G406" i="3"/>
  <c r="G407" i="3"/>
  <c r="G449" i="3"/>
  <c r="G458" i="3"/>
  <c r="BA462" i="3"/>
  <c r="G469" i="3"/>
  <c r="G478" i="3"/>
  <c r="G489" i="3"/>
  <c r="BA323" i="3"/>
  <c r="AZ323" i="3" s="1"/>
  <c r="G366" i="3"/>
  <c r="BA370" i="3"/>
  <c r="AZ370" i="3" s="1"/>
  <c r="G225" i="3"/>
  <c r="G233" i="3"/>
  <c r="BA246" i="3"/>
  <c r="G257" i="3"/>
  <c r="G265" i="3"/>
  <c r="G277" i="3"/>
  <c r="BA288" i="3"/>
  <c r="G127" i="3"/>
  <c r="G143" i="3"/>
  <c r="BA160" i="3"/>
  <c r="AZ160" i="3" s="1"/>
  <c r="G200" i="3"/>
  <c r="G26" i="3"/>
  <c r="BA46" i="3"/>
  <c r="G51" i="3"/>
  <c r="BL53" i="3"/>
  <c r="BA72" i="3"/>
  <c r="BL73" i="3"/>
  <c r="G77" i="3"/>
  <c r="BA77" i="3"/>
  <c r="BL96" i="3"/>
  <c r="G103" i="3"/>
  <c r="E44" i="71"/>
  <c r="E45" i="71" s="1"/>
  <c r="U45" i="71" s="1"/>
  <c r="E52" i="71"/>
  <c r="E53" i="71" s="1"/>
  <c r="U53" i="71" s="1"/>
  <c r="AC10" i="43"/>
  <c r="AB27" i="71"/>
  <c r="F44" i="71"/>
  <c r="F45" i="71" s="1"/>
  <c r="V45" i="71" s="1"/>
  <c r="AA10" i="43"/>
  <c r="Z12" i="43"/>
  <c r="AG12" i="43"/>
  <c r="AB45" i="21"/>
  <c r="U45" i="21"/>
  <c r="W9" i="21"/>
  <c r="AC9" i="21"/>
  <c r="AC29" i="34"/>
  <c r="C30" i="11"/>
  <c r="C48" i="11"/>
  <c r="S13" i="35"/>
  <c r="AA13" i="35"/>
  <c r="U13" i="37"/>
  <c r="AB13" i="37"/>
  <c r="W10" i="33"/>
  <c r="S9" i="35"/>
  <c r="U15" i="33"/>
  <c r="AC25" i="39"/>
  <c r="H56" i="43"/>
  <c r="H53" i="43"/>
  <c r="AB14" i="33"/>
  <c r="U32" i="37"/>
  <c r="U14" i="35"/>
  <c r="U16" i="36"/>
  <c r="AB27" i="40"/>
  <c r="H82" i="43"/>
  <c r="H50" i="43"/>
  <c r="AB25" i="37"/>
  <c r="AZ379" i="3"/>
  <c r="AZ372" i="3"/>
  <c r="AZ345" i="3"/>
  <c r="F9" i="37"/>
  <c r="U46" i="34"/>
  <c r="AB46" i="34"/>
  <c r="AB42" i="34"/>
  <c r="AB30" i="35"/>
  <c r="U30" i="35"/>
  <c r="AB9" i="40"/>
  <c r="U9" i="40"/>
  <c r="BA567" i="3"/>
  <c r="D100" i="43"/>
  <c r="D108" i="43"/>
  <c r="J13" i="37"/>
  <c r="E80" i="34"/>
  <c r="F80" i="34" s="1"/>
  <c r="G80" i="34" s="1"/>
  <c r="H17" i="34"/>
  <c r="J17" i="34"/>
  <c r="W17" i="34" s="1"/>
  <c r="U32" i="39"/>
  <c r="C15" i="40"/>
  <c r="AB29" i="21"/>
  <c r="W17" i="21"/>
  <c r="AB46" i="21"/>
  <c r="H55" i="43"/>
  <c r="H88" i="43"/>
  <c r="AC11" i="33"/>
  <c r="S36" i="37"/>
  <c r="AC34" i="33"/>
  <c r="AA39" i="34"/>
  <c r="H86" i="43"/>
  <c r="S35" i="33"/>
  <c r="W27" i="36"/>
  <c r="H83" i="43"/>
  <c r="AZ391" i="3"/>
  <c r="AZ334" i="3"/>
  <c r="AZ343" i="3"/>
  <c r="S21" i="40"/>
  <c r="AA33" i="40"/>
  <c r="F13" i="37"/>
  <c r="S30" i="21"/>
  <c r="S29" i="35"/>
  <c r="AA29" i="35"/>
  <c r="AB11" i="21"/>
  <c r="U11" i="21"/>
  <c r="AB40" i="33"/>
  <c r="U40" i="33"/>
  <c r="J26" i="37"/>
  <c r="H26" i="37"/>
  <c r="F26" i="37"/>
  <c r="U17" i="21"/>
  <c r="AB17" i="21"/>
  <c r="AB28" i="40"/>
  <c r="U28" i="40"/>
  <c r="H13" i="21"/>
  <c r="U13" i="21" s="1"/>
  <c r="J13" i="21"/>
  <c r="AZ532" i="3"/>
  <c r="W13" i="40"/>
  <c r="H13" i="35"/>
  <c r="S10" i="36"/>
  <c r="H14" i="21"/>
  <c r="J14" i="21"/>
  <c r="W14" i="21" s="1"/>
  <c r="AA38" i="33"/>
  <c r="S38" i="33"/>
  <c r="J12" i="36"/>
  <c r="AC12" i="36" s="1"/>
  <c r="H12" i="36"/>
  <c r="H40" i="37"/>
  <c r="J40" i="37"/>
  <c r="J39" i="40"/>
  <c r="H39" i="40"/>
  <c r="S40" i="33"/>
  <c r="AA40" i="33"/>
  <c r="AC41" i="39"/>
  <c r="AC25" i="33"/>
  <c r="AC23" i="37"/>
  <c r="W33" i="21"/>
  <c r="AC32" i="33"/>
  <c r="S17" i="21"/>
  <c r="AC14" i="33"/>
  <c r="W34" i="39"/>
  <c r="AA39" i="39"/>
  <c r="H65" i="43"/>
  <c r="H85" i="43"/>
  <c r="AR10" i="1"/>
  <c r="U42" i="33"/>
  <c r="AB19" i="40"/>
  <c r="AZ390" i="3"/>
  <c r="AZ320" i="3"/>
  <c r="S11" i="39"/>
  <c r="W35" i="40"/>
  <c r="AA25" i="21"/>
  <c r="J13" i="35"/>
  <c r="H29" i="34"/>
  <c r="AC11" i="40"/>
  <c r="AB9" i="36"/>
  <c r="U9" i="36"/>
  <c r="J34" i="36"/>
  <c r="H34" i="36"/>
  <c r="F34" i="36"/>
  <c r="BA581" i="3"/>
  <c r="AZ581" i="3" s="1"/>
  <c r="AZ528" i="3"/>
  <c r="S8" i="35"/>
  <c r="AA8" i="35"/>
  <c r="H81" i="43"/>
  <c r="AZ369" i="3"/>
  <c r="AZ322" i="3"/>
  <c r="AZ341" i="3"/>
  <c r="H49" i="43"/>
  <c r="AC11" i="37"/>
  <c r="AA36" i="33"/>
  <c r="U21" i="39"/>
  <c r="S39" i="33"/>
  <c r="AC9" i="37"/>
  <c r="U35" i="40"/>
  <c r="AZ338" i="3"/>
  <c r="AZ347" i="3"/>
  <c r="AZ378" i="3"/>
  <c r="AB33" i="40"/>
  <c r="W12" i="37"/>
  <c r="U39" i="37"/>
  <c r="U43" i="33"/>
  <c r="W36" i="40"/>
  <c r="S10" i="35"/>
  <c r="W29" i="33"/>
  <c r="AC10" i="36"/>
  <c r="F14" i="40"/>
  <c r="F29" i="34"/>
  <c r="J30" i="33"/>
  <c r="F31" i="21"/>
  <c r="W27" i="35"/>
  <c r="AB34" i="40"/>
  <c r="U34" i="40"/>
  <c r="H54" i="43"/>
  <c r="T13" i="1"/>
  <c r="F13" i="21"/>
  <c r="AA13" i="21" s="1"/>
  <c r="W8" i="21"/>
  <c r="AZ13" i="3"/>
  <c r="AZ355" i="3"/>
  <c r="J14" i="40"/>
  <c r="AB25" i="35"/>
  <c r="F30" i="33"/>
  <c r="J31" i="21"/>
  <c r="F46" i="21"/>
  <c r="J46" i="21"/>
  <c r="B77" i="43"/>
  <c r="C25" i="39"/>
  <c r="AC10" i="37"/>
  <c r="W40" i="33"/>
  <c r="G587" i="3"/>
  <c r="AA40" i="21"/>
  <c r="AC39" i="33"/>
  <c r="H9" i="34"/>
  <c r="J36" i="35"/>
  <c r="BL583" i="3"/>
  <c r="BA583" i="3"/>
  <c r="BA582" i="3"/>
  <c r="BL580" i="3"/>
  <c r="BL578" i="3"/>
  <c r="BA578" i="3"/>
  <c r="BL560" i="3"/>
  <c r="BA560" i="3"/>
  <c r="BL556" i="3"/>
  <c r="BL555" i="3"/>
  <c r="BA555" i="3"/>
  <c r="BA554" i="3"/>
  <c r="BL553" i="3"/>
  <c r="AZ553" i="3" s="1"/>
  <c r="BA553" i="3"/>
  <c r="BL552" i="3"/>
  <c r="AZ552" i="3" s="1"/>
  <c r="BC5" i="3"/>
  <c r="E13" i="6" s="1"/>
  <c r="G542" i="3"/>
  <c r="G526" i="3"/>
  <c r="G512" i="3"/>
  <c r="BA124" i="3"/>
  <c r="AZ124" i="3" s="1"/>
  <c r="BA59" i="3"/>
  <c r="BL536" i="3"/>
  <c r="BL531" i="3"/>
  <c r="AZ531" i="3" s="1"/>
  <c r="BA522" i="3"/>
  <c r="BA517" i="3"/>
  <c r="AZ517" i="3" s="1"/>
  <c r="BA515" i="3"/>
  <c r="BA509" i="3"/>
  <c r="G509" i="3"/>
  <c r="BL506" i="3"/>
  <c r="BL502" i="3"/>
  <c r="BL501" i="3"/>
  <c r="AZ501" i="3" s="1"/>
  <c r="BL496" i="3"/>
  <c r="BL437" i="3"/>
  <c r="BA333" i="3"/>
  <c r="AZ333" i="3" s="1"/>
  <c r="BL576" i="3"/>
  <c r="AZ576" i="3" s="1"/>
  <c r="BA574" i="3"/>
  <c r="BL573" i="3"/>
  <c r="BA573" i="3"/>
  <c r="AZ573" i="3" s="1"/>
  <c r="BL572" i="3"/>
  <c r="BA572" i="3"/>
  <c r="BL571" i="3"/>
  <c r="AZ571" i="3" s="1"/>
  <c r="BA570" i="3"/>
  <c r="BA569" i="3"/>
  <c r="BL568" i="3"/>
  <c r="AZ568" i="3" s="1"/>
  <c r="BA568" i="3"/>
  <c r="G568" i="3"/>
  <c r="G566" i="3"/>
  <c r="BA565" i="3"/>
  <c r="AZ565" i="3" s="1"/>
  <c r="BL564" i="3"/>
  <c r="BL562" i="3"/>
  <c r="BA562" i="3"/>
  <c r="AZ562" i="3" s="1"/>
  <c r="G561" i="3"/>
  <c r="G559" i="3"/>
  <c r="BA547" i="3"/>
  <c r="BL544" i="3"/>
  <c r="BL16" i="3"/>
  <c r="AZ16" i="3" s="1"/>
  <c r="BL401" i="3"/>
  <c r="BA434" i="3"/>
  <c r="AZ434" i="3" s="1"/>
  <c r="BA448" i="3"/>
  <c r="AZ448" i="3" s="1"/>
  <c r="BA484" i="3"/>
  <c r="BA331" i="3"/>
  <c r="AZ331" i="3" s="1"/>
  <c r="AD12" i="43"/>
  <c r="AD10" i="43"/>
  <c r="BL407" i="3"/>
  <c r="BA413" i="3"/>
  <c r="BA422" i="3"/>
  <c r="BA424" i="3"/>
  <c r="AZ424" i="3" s="1"/>
  <c r="BL425" i="3"/>
  <c r="BA433" i="3"/>
  <c r="Y33" i="71"/>
  <c r="Z33" i="71" s="1"/>
  <c r="Y31" i="71"/>
  <c r="Z31" i="71" s="1"/>
  <c r="F38" i="40"/>
  <c r="G583" i="3"/>
  <c r="BA539" i="3"/>
  <c r="BA526" i="3"/>
  <c r="BL398" i="3"/>
  <c r="BA419" i="3"/>
  <c r="BA444" i="3"/>
  <c r="BL546" i="3"/>
  <c r="AZ546" i="3" s="1"/>
  <c r="BA411" i="3"/>
  <c r="AZ411" i="3" s="1"/>
  <c r="BL411" i="3"/>
  <c r="BL423" i="3"/>
  <c r="BL432" i="3"/>
  <c r="BA490" i="3"/>
  <c r="BA70" i="3"/>
  <c r="X26" i="71"/>
  <c r="X24" i="71"/>
  <c r="X25" i="71"/>
  <c r="BA398" i="3"/>
  <c r="BA400" i="3"/>
  <c r="AZ400" i="3" s="1"/>
  <c r="BL404" i="3"/>
  <c r="AZ404" i="3" s="1"/>
  <c r="BL409" i="3"/>
  <c r="BA425" i="3"/>
  <c r="BA430" i="3"/>
  <c r="BL435" i="3"/>
  <c r="BL438" i="3"/>
  <c r="BA441" i="3"/>
  <c r="BA453" i="3"/>
  <c r="BA456" i="3"/>
  <c r="BL477" i="3"/>
  <c r="BA482" i="3"/>
  <c r="AZ482" i="3" s="1"/>
  <c r="BL489" i="3"/>
  <c r="BA319" i="3"/>
  <c r="AZ319" i="3" s="1"/>
  <c r="BL332" i="3"/>
  <c r="BL354" i="3"/>
  <c r="BA223" i="3"/>
  <c r="BA265" i="3"/>
  <c r="BA272" i="3"/>
  <c r="BA277" i="3"/>
  <c r="BL279" i="3"/>
  <c r="BA285" i="3"/>
  <c r="BA290" i="3"/>
  <c r="BL293" i="3"/>
  <c r="BA298" i="3"/>
  <c r="BL113" i="3"/>
  <c r="BA130" i="3"/>
  <c r="AZ130" i="3" s="1"/>
  <c r="BA134" i="3"/>
  <c r="BA201" i="3"/>
  <c r="G82" i="3"/>
  <c r="BL106" i="3"/>
  <c r="K100" i="43"/>
  <c r="K108" i="43"/>
  <c r="N108" i="43"/>
  <c r="N100" i="43"/>
  <c r="D25" i="71"/>
  <c r="U25" i="71" s="1"/>
  <c r="T25" i="71"/>
  <c r="C24" i="71"/>
  <c r="C23" i="71" s="1"/>
  <c r="D23" i="71" s="1"/>
  <c r="X31" i="71"/>
  <c r="X33" i="71"/>
  <c r="AA34" i="71"/>
  <c r="AA33" i="71"/>
  <c r="E35" i="71"/>
  <c r="E36" i="71" s="1"/>
  <c r="E37" i="71" s="1"/>
  <c r="U37" i="71" s="1"/>
  <c r="G402" i="3"/>
  <c r="G403" i="3"/>
  <c r="BL414" i="3"/>
  <c r="AZ414" i="3" s="1"/>
  <c r="G416" i="3"/>
  <c r="G417" i="3"/>
  <c r="BA428" i="3"/>
  <c r="BA432" i="3"/>
  <c r="AZ432" i="3" s="1"/>
  <c r="BL443" i="3"/>
  <c r="BL446" i="3"/>
  <c r="G447" i="3"/>
  <c r="G448" i="3"/>
  <c r="BL451" i="3"/>
  <c r="G479" i="3"/>
  <c r="BA479" i="3"/>
  <c r="BL485" i="3"/>
  <c r="BL314" i="3"/>
  <c r="AZ314" i="3" s="1"/>
  <c r="BA332" i="3"/>
  <c r="G347" i="3"/>
  <c r="BL353" i="3"/>
  <c r="BL368" i="3"/>
  <c r="AZ368" i="3" s="1"/>
  <c r="BA222" i="3"/>
  <c r="BL224" i="3"/>
  <c r="G226" i="3"/>
  <c r="BL273" i="3"/>
  <c r="G293" i="3"/>
  <c r="BA125" i="3"/>
  <c r="G131" i="3"/>
  <c r="G203" i="3"/>
  <c r="BA74" i="3"/>
  <c r="G79" i="3"/>
  <c r="BL99" i="3"/>
  <c r="G106" i="3"/>
  <c r="G108" i="3"/>
  <c r="X35" i="71"/>
  <c r="X34" i="71"/>
  <c r="AA15" i="71"/>
  <c r="G556" i="3"/>
  <c r="G520" i="3"/>
  <c r="G499" i="3"/>
  <c r="S22" i="31"/>
  <c r="BL15" i="3"/>
  <c r="BL13" i="3"/>
  <c r="BA403" i="3"/>
  <c r="BA407" i="3"/>
  <c r="AZ407" i="3" s="1"/>
  <c r="BA417" i="3"/>
  <c r="BA421" i="3"/>
  <c r="G462" i="3"/>
  <c r="BA467" i="3"/>
  <c r="BL475" i="3"/>
  <c r="BL476" i="3"/>
  <c r="G477" i="3"/>
  <c r="BL487" i="3"/>
  <c r="G491" i="3"/>
  <c r="BA352" i="3"/>
  <c r="AZ352" i="3" s="1"/>
  <c r="BL363" i="3"/>
  <c r="AZ363" i="3" s="1"/>
  <c r="G209" i="3"/>
  <c r="BA219" i="3"/>
  <c r="BL220" i="3"/>
  <c r="BL233" i="3"/>
  <c r="G234" i="3"/>
  <c r="BL245" i="3"/>
  <c r="G290" i="3"/>
  <c r="BL300" i="3"/>
  <c r="G301" i="3"/>
  <c r="BA301" i="3"/>
  <c r="G119" i="3"/>
  <c r="BL122" i="3"/>
  <c r="BL27" i="3"/>
  <c r="BA64" i="3"/>
  <c r="BA68" i="3"/>
  <c r="AA32" i="71"/>
  <c r="AE12" i="43"/>
  <c r="AE10" i="43"/>
  <c r="BL512" i="3"/>
  <c r="AZ512" i="3" s="1"/>
  <c r="BL509" i="3"/>
  <c r="BA503" i="3"/>
  <c r="BL497" i="3"/>
  <c r="AZ497" i="3" s="1"/>
  <c r="BA494" i="3"/>
  <c r="BA399" i="3"/>
  <c r="BL413" i="3"/>
  <c r="BA416" i="3"/>
  <c r="BL418" i="3"/>
  <c r="BL436" i="3"/>
  <c r="BA455" i="3"/>
  <c r="BL458" i="3"/>
  <c r="BL464" i="3"/>
  <c r="BL469" i="3"/>
  <c r="BA473" i="3"/>
  <c r="AZ473" i="3" s="1"/>
  <c r="BA216" i="3"/>
  <c r="BL219" i="3"/>
  <c r="BL235" i="3"/>
  <c r="G241" i="3"/>
  <c r="BL250" i="3"/>
  <c r="BL117" i="3"/>
  <c r="BL123" i="3"/>
  <c r="AZ123" i="3" s="1"/>
  <c r="BA133" i="3"/>
  <c r="AZ133" i="3" s="1"/>
  <c r="BL60" i="3"/>
  <c r="BL66" i="3"/>
  <c r="BL72" i="3"/>
  <c r="G85" i="3"/>
  <c r="AB21" i="37"/>
  <c r="U21" i="37"/>
  <c r="AB18" i="36"/>
  <c r="AA25" i="40"/>
  <c r="S25" i="40"/>
  <c r="X32" i="71"/>
  <c r="BA410" i="3"/>
  <c r="BL420" i="3"/>
  <c r="BL426" i="3"/>
  <c r="BA436" i="3"/>
  <c r="BA442" i="3"/>
  <c r="BA454" i="3"/>
  <c r="AZ454" i="3" s="1"/>
  <c r="BL460" i="3"/>
  <c r="AZ460" i="3" s="1"/>
  <c r="BL463" i="3"/>
  <c r="BL466" i="3"/>
  <c r="BL472" i="3"/>
  <c r="G475" i="3"/>
  <c r="BA478" i="3"/>
  <c r="AZ478" i="3" s="1"/>
  <c r="BL480" i="3"/>
  <c r="BL491" i="3"/>
  <c r="BA317" i="3"/>
  <c r="AZ317" i="3" s="1"/>
  <c r="G208" i="3"/>
  <c r="BA282" i="3"/>
  <c r="AZ282" i="3" s="1"/>
  <c r="BA118" i="3"/>
  <c r="BA132" i="3"/>
  <c r="AZ132" i="3" s="1"/>
  <c r="BL146" i="3"/>
  <c r="BA156" i="3"/>
  <c r="AZ156" i="3" s="1"/>
  <c r="BA158" i="3"/>
  <c r="AZ158" i="3" s="1"/>
  <c r="G164" i="3"/>
  <c r="G580" i="3"/>
  <c r="G551" i="3"/>
  <c r="BA402" i="3"/>
  <c r="BA405" i="3"/>
  <c r="BA418" i="3"/>
  <c r="AZ418" i="3" s="1"/>
  <c r="G423" i="3"/>
  <c r="G431" i="3"/>
  <c r="BA439" i="3"/>
  <c r="BL441" i="3"/>
  <c r="BL444" i="3"/>
  <c r="AZ444" i="3" s="1"/>
  <c r="BA447" i="3"/>
  <c r="AZ447" i="3" s="1"/>
  <c r="BA450" i="3"/>
  <c r="BA452" i="3"/>
  <c r="AZ452" i="3" s="1"/>
  <c r="BL454" i="3"/>
  <c r="BA466" i="3"/>
  <c r="G472" i="3"/>
  <c r="BL474" i="3"/>
  <c r="AZ474" i="3" s="1"/>
  <c r="BL328" i="3"/>
  <c r="AZ328" i="3" s="1"/>
  <c r="BL340" i="3"/>
  <c r="AZ340" i="3" s="1"/>
  <c r="G378" i="3"/>
  <c r="G231" i="3"/>
  <c r="BL238" i="3"/>
  <c r="BL248" i="3"/>
  <c r="BA255" i="3"/>
  <c r="BL256" i="3"/>
  <c r="G258" i="3"/>
  <c r="BA259" i="3"/>
  <c r="G287" i="3"/>
  <c r="BA294" i="3"/>
  <c r="G298" i="3"/>
  <c r="BL299" i="3"/>
  <c r="G135" i="3"/>
  <c r="BL142" i="3"/>
  <c r="BA143" i="3"/>
  <c r="G146" i="3"/>
  <c r="BA154" i="3"/>
  <c r="G158" i="3"/>
  <c r="BL169" i="3"/>
  <c r="G41" i="3"/>
  <c r="BL385" i="3"/>
  <c r="BL393" i="3"/>
  <c r="AZ393" i="3" s="1"/>
  <c r="BA212" i="3"/>
  <c r="BA228" i="3"/>
  <c r="BA232" i="3"/>
  <c r="BA233" i="3"/>
  <c r="BL234" i="3"/>
  <c r="BL241" i="3"/>
  <c r="AZ241" i="3" s="1"/>
  <c r="BA251" i="3"/>
  <c r="AZ251" i="3" s="1"/>
  <c r="BA258" i="3"/>
  <c r="BA262" i="3"/>
  <c r="AZ262" i="3" s="1"/>
  <c r="BL276" i="3"/>
  <c r="BA291" i="3"/>
  <c r="BA122" i="3"/>
  <c r="BA162" i="3"/>
  <c r="G202" i="3"/>
  <c r="BL203" i="3"/>
  <c r="AZ203" i="3" s="1"/>
  <c r="BA103" i="3"/>
  <c r="AZ103" i="3" s="1"/>
  <c r="BL104" i="3"/>
  <c r="G434" i="3"/>
  <c r="G437" i="3"/>
  <c r="BL455" i="3"/>
  <c r="BA461" i="3"/>
  <c r="G466" i="3"/>
  <c r="BA468" i="3"/>
  <c r="BL483" i="3"/>
  <c r="BL484" i="3"/>
  <c r="G485" i="3"/>
  <c r="BL492" i="3"/>
  <c r="G331" i="3"/>
  <c r="G343" i="3"/>
  <c r="G351" i="3"/>
  <c r="BL359" i="3"/>
  <c r="AZ359" i="3" s="1"/>
  <c r="BA367" i="3"/>
  <c r="AZ367" i="3" s="1"/>
  <c r="G382" i="3"/>
  <c r="BL386" i="3"/>
  <c r="BA397" i="3"/>
  <c r="G217" i="3"/>
  <c r="BL218" i="3"/>
  <c r="BA226" i="3"/>
  <c r="BA238" i="3"/>
  <c r="BA240" i="3"/>
  <c r="BL240" i="3"/>
  <c r="G245" i="3"/>
  <c r="G246" i="3"/>
  <c r="BA248" i="3"/>
  <c r="BL249" i="3"/>
  <c r="G253" i="3"/>
  <c r="G254" i="3"/>
  <c r="BA263" i="3"/>
  <c r="AZ263" i="3" s="1"/>
  <c r="BA268" i="3"/>
  <c r="BL284" i="3"/>
  <c r="BL297" i="3"/>
  <c r="BA113" i="3"/>
  <c r="BA114" i="3"/>
  <c r="G122" i="3"/>
  <c r="G126" i="3"/>
  <c r="BL133" i="3"/>
  <c r="BA140" i="3"/>
  <c r="AZ140" i="3" s="1"/>
  <c r="BA149" i="3"/>
  <c r="BL161" i="3"/>
  <c r="BL178" i="3"/>
  <c r="G179" i="3"/>
  <c r="BA194" i="3"/>
  <c r="BL199" i="3"/>
  <c r="AZ199" i="3" s="1"/>
  <c r="G19" i="3"/>
  <c r="BA31" i="3"/>
  <c r="BA32" i="3"/>
  <c r="AZ32" i="3" s="1"/>
  <c r="BL32" i="3"/>
  <c r="BA85" i="3"/>
  <c r="BA97" i="3"/>
  <c r="AC18" i="36"/>
  <c r="W18" i="36"/>
  <c r="BL461" i="3"/>
  <c r="BL467" i="3"/>
  <c r="BA470" i="3"/>
  <c r="BA477" i="3"/>
  <c r="BL479" i="3"/>
  <c r="G483" i="3"/>
  <c r="G490" i="3"/>
  <c r="BA492" i="3"/>
  <c r="AZ492" i="3" s="1"/>
  <c r="BL324" i="3"/>
  <c r="AZ324" i="3" s="1"/>
  <c r="G329" i="3"/>
  <c r="BA335" i="3"/>
  <c r="AZ335" i="3" s="1"/>
  <c r="BL350" i="3"/>
  <c r="BA384" i="3"/>
  <c r="BA386" i="3"/>
  <c r="BL211" i="3"/>
  <c r="AZ211" i="3" s="1"/>
  <c r="BL215" i="3"/>
  <c r="G216" i="3"/>
  <c r="BA218" i="3"/>
  <c r="BL227" i="3"/>
  <c r="BL232" i="3"/>
  <c r="G238" i="3"/>
  <c r="G248" i="3"/>
  <c r="G249" i="3"/>
  <c r="BA249" i="3"/>
  <c r="G252" i="3"/>
  <c r="BL253" i="3"/>
  <c r="BL261" i="3"/>
  <c r="BL262" i="3"/>
  <c r="G263" i="3"/>
  <c r="G267" i="3"/>
  <c r="BL281" i="3"/>
  <c r="BA284" i="3"/>
  <c r="BL287" i="3"/>
  <c r="BL296" i="3"/>
  <c r="BA297" i="3"/>
  <c r="AZ297" i="3" s="1"/>
  <c r="G138" i="3"/>
  <c r="BA148" i="3"/>
  <c r="AZ148" i="3" s="1"/>
  <c r="BL177" i="3"/>
  <c r="G178" i="3"/>
  <c r="BL190" i="3"/>
  <c r="BA192" i="3"/>
  <c r="AZ192" i="3" s="1"/>
  <c r="G199" i="3"/>
  <c r="BA202" i="3"/>
  <c r="BA20" i="3"/>
  <c r="BL22" i="3"/>
  <c r="BL33" i="3"/>
  <c r="G35" i="3"/>
  <c r="BA82" i="3"/>
  <c r="G111" i="3"/>
  <c r="BL112" i="3"/>
  <c r="S21" i="37"/>
  <c r="C48" i="71"/>
  <c r="P61" i="15"/>
  <c r="G380" i="3"/>
  <c r="BL380" i="3"/>
  <c r="AZ380" i="3" s="1"/>
  <c r="BA382" i="3"/>
  <c r="BL382" i="3"/>
  <c r="BL396" i="3"/>
  <c r="BA210" i="3"/>
  <c r="BA211" i="3"/>
  <c r="BL217" i="3"/>
  <c r="BL225" i="3"/>
  <c r="BA227" i="3"/>
  <c r="AZ227" i="3" s="1"/>
  <c r="BL230" i="3"/>
  <c r="G232" i="3"/>
  <c r="BA243" i="3"/>
  <c r="BF5" i="3"/>
  <c r="BA253" i="3"/>
  <c r="BA256" i="3"/>
  <c r="AZ256" i="3" s="1"/>
  <c r="BA257" i="3"/>
  <c r="BL257" i="3"/>
  <c r="AZ257" i="3" s="1"/>
  <c r="BA266" i="3"/>
  <c r="BL280" i="3"/>
  <c r="BA281" i="3"/>
  <c r="BA296" i="3"/>
  <c r="BA300" i="3"/>
  <c r="BL302" i="3"/>
  <c r="BA120" i="3"/>
  <c r="AZ120" i="3" s="1"/>
  <c r="BL127" i="3"/>
  <c r="AZ127" i="3" s="1"/>
  <c r="BL131" i="3"/>
  <c r="AZ131" i="3" s="1"/>
  <c r="BL137" i="3"/>
  <c r="BL139" i="3"/>
  <c r="AZ139" i="3" s="1"/>
  <c r="G150" i="3"/>
  <c r="BA173" i="3"/>
  <c r="BA174" i="3"/>
  <c r="AZ174" i="3" s="1"/>
  <c r="BL185" i="3"/>
  <c r="BL191" i="3"/>
  <c r="AZ191" i="3" s="1"/>
  <c r="G206" i="3"/>
  <c r="BA25" i="3"/>
  <c r="BL26" i="3"/>
  <c r="BL42" i="3"/>
  <c r="BA48" i="3"/>
  <c r="AZ48" i="3" s="1"/>
  <c r="BA52" i="3"/>
  <c r="BL83" i="3"/>
  <c r="BL89" i="3"/>
  <c r="BL109" i="3"/>
  <c r="G110" i="3"/>
  <c r="AB21" i="21"/>
  <c r="U21" i="21"/>
  <c r="X30" i="71"/>
  <c r="C40" i="71"/>
  <c r="D40" i="71" s="1"/>
  <c r="D39" i="71"/>
  <c r="C44" i="71"/>
  <c r="D44" i="71" s="1"/>
  <c r="BA209" i="3"/>
  <c r="BA221" i="3"/>
  <c r="BA225" i="3"/>
  <c r="G230" i="3"/>
  <c r="G236" i="3"/>
  <c r="G242" i="3"/>
  <c r="BA252" i="3"/>
  <c r="BL255" i="3"/>
  <c r="AZ255" i="3" s="1"/>
  <c r="G260" i="3"/>
  <c r="BL260" i="3"/>
  <c r="BA280" i="3"/>
  <c r="AZ280" i="3" s="1"/>
  <c r="BA283" i="3"/>
  <c r="AZ283" i="3" s="1"/>
  <c r="BL283" i="3"/>
  <c r="BL292" i="3"/>
  <c r="G302" i="3"/>
  <c r="BL159" i="3"/>
  <c r="AZ159" i="3" s="1"/>
  <c r="BL167" i="3"/>
  <c r="AZ167" i="3" s="1"/>
  <c r="BA172" i="3"/>
  <c r="AZ172" i="3" s="1"/>
  <c r="G176" i="3"/>
  <c r="G205" i="3"/>
  <c r="BA205" i="3"/>
  <c r="G25" i="3"/>
  <c r="G31" i="3"/>
  <c r="BA41" i="3"/>
  <c r="G55" i="3"/>
  <c r="BL69" i="3"/>
  <c r="AZ69" i="3" s="1"/>
  <c r="BL79" i="3"/>
  <c r="G83" i="3"/>
  <c r="BA89" i="3"/>
  <c r="G109" i="3"/>
  <c r="AB32" i="71"/>
  <c r="Y34" i="71"/>
  <c r="Z34" i="71" s="1"/>
  <c r="C35" i="71"/>
  <c r="AB34" i="71"/>
  <c r="BL183" i="3"/>
  <c r="AZ183" i="3" s="1"/>
  <c r="BL189" i="3"/>
  <c r="AZ189" i="3" s="1"/>
  <c r="G196" i="3"/>
  <c r="BL201" i="3"/>
  <c r="BA19" i="3"/>
  <c r="G23" i="3"/>
  <c r="BL24" i="3"/>
  <c r="BA35" i="3"/>
  <c r="BL40" i="3"/>
  <c r="BA45" i="3"/>
  <c r="BA50" i="3"/>
  <c r="AZ50" i="3" s="1"/>
  <c r="BA53" i="3"/>
  <c r="AZ53" i="3" s="1"/>
  <c r="BL59" i="3"/>
  <c r="BL63" i="3"/>
  <c r="BA86" i="3"/>
  <c r="BA88" i="3"/>
  <c r="BA91" i="3"/>
  <c r="BL102" i="3"/>
  <c r="E28" i="71"/>
  <c r="B44" i="71"/>
  <c r="B45" i="71" s="1"/>
  <c r="S45" i="71" s="1"/>
  <c r="F52" i="71"/>
  <c r="F53" i="71" s="1"/>
  <c r="V53" i="71" s="1"/>
  <c r="G130" i="3"/>
  <c r="G136" i="3"/>
  <c r="BL138" i="3"/>
  <c r="BA145" i="3"/>
  <c r="BL147" i="3"/>
  <c r="AZ147" i="3" s="1"/>
  <c r="G151" i="3"/>
  <c r="BL155" i="3"/>
  <c r="AZ155" i="3" s="1"/>
  <c r="BA161" i="3"/>
  <c r="BL171" i="3"/>
  <c r="AZ171" i="3" s="1"/>
  <c r="BA181" i="3"/>
  <c r="G21" i="3"/>
  <c r="BA39" i="3"/>
  <c r="BA40" i="3"/>
  <c r="BL44" i="3"/>
  <c r="BL45" i="3"/>
  <c r="G47" i="3"/>
  <c r="BL49" i="3"/>
  <c r="G53" i="3"/>
  <c r="BL57" i="3"/>
  <c r="G59" i="3"/>
  <c r="BL61" i="3"/>
  <c r="AZ61" i="3" s="1"/>
  <c r="G63" i="3"/>
  <c r="BA65" i="3"/>
  <c r="G71" i="3"/>
  <c r="G72" i="3"/>
  <c r="BL85" i="3"/>
  <c r="BL87" i="3"/>
  <c r="BL94" i="3"/>
  <c r="G95" i="3"/>
  <c r="G96" i="3"/>
  <c r="G98" i="3"/>
  <c r="BA102" i="3"/>
  <c r="BA110" i="3"/>
  <c r="BA111" i="3"/>
  <c r="C21" i="68"/>
  <c r="C21" i="69"/>
  <c r="F28" i="71"/>
  <c r="F29" i="71" s="1"/>
  <c r="V29" i="71" s="1"/>
  <c r="Y32" i="71"/>
  <c r="Z32" i="71" s="1"/>
  <c r="AB33" i="71"/>
  <c r="D81" i="71"/>
  <c r="Y20" i="71"/>
  <c r="Z20" i="71" s="1"/>
  <c r="BA138" i="3"/>
  <c r="BA144" i="3"/>
  <c r="AZ144" i="3" s="1"/>
  <c r="BA146" i="3"/>
  <c r="BA166" i="3"/>
  <c r="G171" i="3"/>
  <c r="BA180" i="3"/>
  <c r="AZ180" i="3" s="1"/>
  <c r="G182" i="3"/>
  <c r="BA182" i="3"/>
  <c r="BA200" i="3"/>
  <c r="AZ200" i="3" s="1"/>
  <c r="BA23" i="3"/>
  <c r="BL34" i="3"/>
  <c r="AZ34" i="3" s="1"/>
  <c r="BA42" i="3"/>
  <c r="AZ42" i="3" s="1"/>
  <c r="G44" i="3"/>
  <c r="G52" i="3"/>
  <c r="BL52" i="3"/>
  <c r="G57" i="3"/>
  <c r="BL84" i="3"/>
  <c r="BA87" i="3"/>
  <c r="BL91" i="3"/>
  <c r="BL95" i="3"/>
  <c r="BA107" i="3"/>
  <c r="X28" i="71"/>
  <c r="F40" i="71"/>
  <c r="F41" i="71" s="1"/>
  <c r="V41" i="71" s="1"/>
  <c r="E56" i="71"/>
  <c r="E57" i="71" s="1"/>
  <c r="U57" i="71" s="1"/>
  <c r="B60" i="71"/>
  <c r="B61" i="71" s="1"/>
  <c r="S61" i="71" s="1"/>
  <c r="AI10" i="43"/>
  <c r="X18" i="71"/>
  <c r="X15" i="71"/>
  <c r="BL173" i="3"/>
  <c r="BL179" i="3"/>
  <c r="AZ179" i="3" s="1"/>
  <c r="BL205" i="3"/>
  <c r="BA33" i="3"/>
  <c r="AZ33" i="3" s="1"/>
  <c r="BA34" i="3"/>
  <c r="G40" i="3"/>
  <c r="BL41" i="3"/>
  <c r="G42" i="3"/>
  <c r="BA56" i="3"/>
  <c r="BL71" i="3"/>
  <c r="BA81" i="3"/>
  <c r="BL108" i="3"/>
  <c r="G112" i="3"/>
  <c r="B37" i="71"/>
  <c r="S37" i="71" s="1"/>
  <c r="B40" i="71"/>
  <c r="B41" i="71" s="1"/>
  <c r="S41" i="71" s="1"/>
  <c r="B53" i="71"/>
  <c r="S53" i="71" s="1"/>
  <c r="F60" i="71"/>
  <c r="F61" i="71" s="1"/>
  <c r="V61" i="71" s="1"/>
  <c r="F33" i="34"/>
  <c r="S33" i="34" s="1"/>
  <c r="AB43" i="21"/>
  <c r="U43" i="21"/>
  <c r="C21" i="39"/>
  <c r="B60" i="43"/>
  <c r="B49" i="43"/>
  <c r="AZ560" i="3"/>
  <c r="AA26" i="35"/>
  <c r="S26" i="35"/>
  <c r="H72" i="43"/>
  <c r="H75" i="43"/>
  <c r="H78" i="43"/>
  <c r="H73" i="43"/>
  <c r="H71" i="43"/>
  <c r="H77" i="43"/>
  <c r="H76" i="43"/>
  <c r="H74" i="43"/>
  <c r="H70" i="43"/>
  <c r="S36" i="35"/>
  <c r="AA36" i="35"/>
  <c r="U30" i="33"/>
  <c r="AB30" i="33"/>
  <c r="AA42" i="39"/>
  <c r="S42" i="39"/>
  <c r="AA26" i="33"/>
  <c r="S26" i="33"/>
  <c r="AB27" i="33"/>
  <c r="U27" i="33"/>
  <c r="AA33" i="21"/>
  <c r="S33" i="21"/>
  <c r="C16" i="71"/>
  <c r="T17" i="71"/>
  <c r="U23" i="21"/>
  <c r="AB11" i="37"/>
  <c r="AA43" i="39"/>
  <c r="S43" i="39"/>
  <c r="S27" i="37"/>
  <c r="AA27" i="37"/>
  <c r="S12" i="39"/>
  <c r="AA12" i="39"/>
  <c r="S32" i="36"/>
  <c r="AA32" i="36"/>
  <c r="S31" i="36"/>
  <c r="AA31" i="36"/>
  <c r="AA10" i="21"/>
  <c r="S10" i="21"/>
  <c r="S19" i="33"/>
  <c r="AA19" i="33"/>
  <c r="D124" i="9"/>
  <c r="M49" i="9"/>
  <c r="H110" i="9"/>
  <c r="D18" i="53" s="1"/>
  <c r="B35" i="72" s="1"/>
  <c r="D16" i="53"/>
  <c r="U36" i="33"/>
  <c r="AB36" i="33"/>
  <c r="U25" i="39"/>
  <c r="AB25" i="39"/>
  <c r="W32" i="34"/>
  <c r="AC32" i="34"/>
  <c r="S30" i="35"/>
  <c r="AA30" i="35"/>
  <c r="D126" i="9"/>
  <c r="D19" i="53"/>
  <c r="D9" i="11"/>
  <c r="C9" i="11" s="1"/>
  <c r="J14" i="39"/>
  <c r="H14" i="39"/>
  <c r="F14" i="39"/>
  <c r="S23" i="33"/>
  <c r="AA23" i="33"/>
  <c r="AA34" i="33"/>
  <c r="S34" i="33"/>
  <c r="U31" i="37"/>
  <c r="AB31" i="37"/>
  <c r="AB28" i="36"/>
  <c r="U28" i="36"/>
  <c r="AA32" i="34"/>
  <c r="S32" i="34"/>
  <c r="AC14" i="36"/>
  <c r="W14" i="36"/>
  <c r="B71" i="43"/>
  <c r="AB10" i="33"/>
  <c r="U10" i="33"/>
  <c r="AB9" i="33"/>
  <c r="U9" i="33"/>
  <c r="BA559" i="3"/>
  <c r="BA557" i="3"/>
  <c r="BP5" i="3"/>
  <c r="BN5" i="3"/>
  <c r="G261" i="3"/>
  <c r="H5" i="3"/>
  <c r="D120" i="9"/>
  <c r="W35" i="33"/>
  <c r="AC35" i="33"/>
  <c r="S11" i="37"/>
  <c r="AR12" i="1"/>
  <c r="AQ12" i="1"/>
  <c r="S27" i="40"/>
  <c r="BB5" i="3"/>
  <c r="AZ498" i="3"/>
  <c r="S11" i="36"/>
  <c r="AA40" i="37"/>
  <c r="S40" i="37"/>
  <c r="AB33" i="35"/>
  <c r="W13" i="33"/>
  <c r="AA17" i="37"/>
  <c r="S17" i="37"/>
  <c r="AZ373" i="3"/>
  <c r="S31" i="37"/>
  <c r="AA31" i="37"/>
  <c r="C15" i="39"/>
  <c r="B70" i="43"/>
  <c r="H35" i="39"/>
  <c r="F35" i="39"/>
  <c r="J35" i="39"/>
  <c r="BA584" i="3"/>
  <c r="BI5" i="3"/>
  <c r="BA579" i="3"/>
  <c r="AZ578" i="3"/>
  <c r="BL554" i="3"/>
  <c r="AZ554" i="3" s="1"/>
  <c r="BM5" i="3"/>
  <c r="AC5" i="3"/>
  <c r="BO5" i="3"/>
  <c r="U23" i="37"/>
  <c r="U35" i="35"/>
  <c r="AB35" i="35"/>
  <c r="S31" i="34"/>
  <c r="AA31" i="34"/>
  <c r="U13" i="34"/>
  <c r="AB13" i="34"/>
  <c r="S23" i="40"/>
  <c r="AA23" i="40"/>
  <c r="AB13" i="21"/>
  <c r="B82" i="43"/>
  <c r="C17" i="40"/>
  <c r="BL577" i="3"/>
  <c r="BL567" i="3"/>
  <c r="BS5" i="3"/>
  <c r="BL557" i="3"/>
  <c r="AZ542" i="3"/>
  <c r="AA28" i="40"/>
  <c r="S28" i="40"/>
  <c r="AC43" i="34"/>
  <c r="W43" i="34"/>
  <c r="AC11" i="21"/>
  <c r="W11" i="21"/>
  <c r="W14" i="35"/>
  <c r="AC14" i="35"/>
  <c r="AZ503" i="3"/>
  <c r="AB9" i="21"/>
  <c r="U9" i="21"/>
  <c r="U25" i="33"/>
  <c r="AB25" i="33"/>
  <c r="AZ14" i="3"/>
  <c r="AA26" i="21"/>
  <c r="F48" i="9"/>
  <c r="O52" i="9" s="1"/>
  <c r="F31" i="12"/>
  <c r="C31" i="12" s="1"/>
  <c r="M18" i="15"/>
  <c r="F52" i="9"/>
  <c r="D68" i="9"/>
  <c r="F53" i="9"/>
  <c r="F28" i="67"/>
  <c r="C28" i="67" s="1"/>
  <c r="F30" i="69"/>
  <c r="F32" i="15"/>
  <c r="F60" i="15" s="1"/>
  <c r="F30" i="68"/>
  <c r="BT5" i="3"/>
  <c r="G28" i="6" s="1"/>
  <c r="AB41" i="39"/>
  <c r="U41" i="39"/>
  <c r="AB19" i="37"/>
  <c r="U19" i="37"/>
  <c r="AC32" i="37"/>
  <c r="W32" i="37"/>
  <c r="AZ567" i="3"/>
  <c r="S11" i="35"/>
  <c r="AA11" i="35"/>
  <c r="AB13" i="33"/>
  <c r="U13" i="33"/>
  <c r="S33" i="35"/>
  <c r="AA25" i="35"/>
  <c r="S25" i="35"/>
  <c r="S47" i="34"/>
  <c r="AA47" i="34"/>
  <c r="BA587" i="3"/>
  <c r="AZ587" i="3" s="1"/>
  <c r="F27" i="33"/>
  <c r="J27" i="33"/>
  <c r="AA15" i="37"/>
  <c r="S15" i="37"/>
  <c r="AB9" i="37"/>
  <c r="U9" i="37"/>
  <c r="AC9" i="40"/>
  <c r="AC27" i="21"/>
  <c r="H44" i="21"/>
  <c r="J44" i="21"/>
  <c r="F44" i="21"/>
  <c r="J31" i="40"/>
  <c r="F31" i="40"/>
  <c r="BL569" i="3"/>
  <c r="BA558" i="3"/>
  <c r="BL551" i="3"/>
  <c r="AA32" i="37"/>
  <c r="S32" i="37"/>
  <c r="W12" i="36"/>
  <c r="AZ318" i="3"/>
  <c r="AZ342" i="3"/>
  <c r="AB28" i="34"/>
  <c r="U28" i="34"/>
  <c r="AZ549" i="3"/>
  <c r="AZ518" i="3"/>
  <c r="AB16" i="35"/>
  <c r="U16" i="35"/>
  <c r="AC36" i="39"/>
  <c r="W36" i="39"/>
  <c r="U26" i="21"/>
  <c r="AB26" i="21"/>
  <c r="BL587" i="3"/>
  <c r="W45" i="21"/>
  <c r="AC45" i="21"/>
  <c r="F118" i="34"/>
  <c r="G118" i="34" s="1"/>
  <c r="J40" i="34"/>
  <c r="W40" i="34" s="1"/>
  <c r="H40" i="34"/>
  <c r="U40" i="34" s="1"/>
  <c r="J32" i="40"/>
  <c r="F32" i="40"/>
  <c r="H32" i="40"/>
  <c r="S38" i="40"/>
  <c r="AA38" i="40"/>
  <c r="AZ547" i="3"/>
  <c r="BA545" i="3"/>
  <c r="AZ545" i="3" s="1"/>
  <c r="BA541" i="3"/>
  <c r="BA525" i="3"/>
  <c r="AZ522" i="3"/>
  <c r="BA511" i="3"/>
  <c r="AZ511" i="3" s="1"/>
  <c r="BA504" i="3"/>
  <c r="BK5" i="3"/>
  <c r="S45" i="21"/>
  <c r="AA45" i="21"/>
  <c r="AC9" i="35"/>
  <c r="J26" i="35"/>
  <c r="H26" i="35"/>
  <c r="AZ572" i="3"/>
  <c r="BL558" i="3"/>
  <c r="BA556" i="3"/>
  <c r="AA16" i="35"/>
  <c r="W15" i="21"/>
  <c r="AC15" i="21"/>
  <c r="S33" i="36"/>
  <c r="BL559" i="3"/>
  <c r="AB13" i="40"/>
  <c r="U13" i="40"/>
  <c r="AB28" i="37"/>
  <c r="U28" i="37"/>
  <c r="AB37" i="33"/>
  <c r="U37" i="33"/>
  <c r="S34" i="36"/>
  <c r="AA34" i="36"/>
  <c r="S41" i="39"/>
  <c r="AA41" i="39"/>
  <c r="BL585" i="3"/>
  <c r="F31" i="33"/>
  <c r="J31" i="33"/>
  <c r="F30" i="34"/>
  <c r="J30" i="34"/>
  <c r="J11" i="35"/>
  <c r="H11" i="35"/>
  <c r="AC28" i="36"/>
  <c r="W28" i="36"/>
  <c r="AA30" i="36"/>
  <c r="S30" i="36"/>
  <c r="BA580" i="3"/>
  <c r="AZ580" i="3" s="1"/>
  <c r="BL579" i="3"/>
  <c r="U8" i="34"/>
  <c r="AB8" i="34"/>
  <c r="F14" i="37"/>
  <c r="H14" i="37"/>
  <c r="J14" i="37"/>
  <c r="W23" i="33"/>
  <c r="AC42" i="34"/>
  <c r="AZ529" i="3"/>
  <c r="U45" i="34"/>
  <c r="AB45" i="34"/>
  <c r="W13" i="34"/>
  <c r="AC13" i="34"/>
  <c r="S12" i="36"/>
  <c r="AA12" i="36"/>
  <c r="E102" i="34"/>
  <c r="F102" i="34" s="1"/>
  <c r="G102" i="34" s="1"/>
  <c r="H102" i="34" s="1"/>
  <c r="I102" i="34" s="1"/>
  <c r="J102" i="34" s="1"/>
  <c r="K102" i="34" s="1"/>
  <c r="L102" i="34" s="1"/>
  <c r="M102" i="34" s="1"/>
  <c r="J33" i="34"/>
  <c r="AC33" i="34" s="1"/>
  <c r="W8" i="35"/>
  <c r="AC8" i="35"/>
  <c r="H12" i="33"/>
  <c r="J12" i="33"/>
  <c r="F46" i="33"/>
  <c r="H46" i="33"/>
  <c r="F45" i="34"/>
  <c r="J45" i="34"/>
  <c r="W45" i="34" s="1"/>
  <c r="J24" i="35"/>
  <c r="F24" i="35"/>
  <c r="H24" i="35"/>
  <c r="S23" i="36"/>
  <c r="AA23" i="36"/>
  <c r="F25" i="36"/>
  <c r="H25" i="36"/>
  <c r="S26" i="37"/>
  <c r="AA26" i="37"/>
  <c r="H38" i="37"/>
  <c r="F38" i="37"/>
  <c r="AC23" i="39"/>
  <c r="W23" i="39"/>
  <c r="AB39" i="40"/>
  <c r="U39" i="40"/>
  <c r="AA27" i="36"/>
  <c r="U35" i="37"/>
  <c r="AZ304" i="3"/>
  <c r="AA12" i="40"/>
  <c r="S12" i="40"/>
  <c r="AA35" i="40"/>
  <c r="S35" i="40"/>
  <c r="AB38" i="33"/>
  <c r="U38" i="33"/>
  <c r="AB31" i="36"/>
  <c r="AB30" i="37"/>
  <c r="U30" i="37"/>
  <c r="BL584" i="3"/>
  <c r="BL540" i="3"/>
  <c r="BA540" i="3"/>
  <c r="G539" i="3"/>
  <c r="BL538" i="3"/>
  <c r="BA538" i="3"/>
  <c r="BL535" i="3"/>
  <c r="BA535" i="3"/>
  <c r="BA533" i="3"/>
  <c r="BA530" i="3"/>
  <c r="AZ530" i="3" s="1"/>
  <c r="BL526" i="3"/>
  <c r="AZ526" i="3" s="1"/>
  <c r="BA524" i="3"/>
  <c r="AZ524" i="3" s="1"/>
  <c r="G523" i="3"/>
  <c r="G516" i="3"/>
  <c r="BA510" i="3"/>
  <c r="BA507" i="3"/>
  <c r="AZ507" i="3" s="1"/>
  <c r="BA506" i="3"/>
  <c r="BL504" i="3"/>
  <c r="G502" i="3"/>
  <c r="BL494" i="3"/>
  <c r="AZ494" i="3" s="1"/>
  <c r="U26" i="33"/>
  <c r="AB26" i="33"/>
  <c r="AC24" i="36"/>
  <c r="W24" i="36"/>
  <c r="AA40" i="39"/>
  <c r="S40" i="39"/>
  <c r="W8" i="40"/>
  <c r="AC8" i="40"/>
  <c r="S41" i="21"/>
  <c r="AA41" i="21"/>
  <c r="AB43" i="34"/>
  <c r="U43" i="34"/>
  <c r="J11" i="36"/>
  <c r="H11" i="36"/>
  <c r="H44" i="39"/>
  <c r="F44" i="39"/>
  <c r="J44" i="39"/>
  <c r="AZ377" i="3"/>
  <c r="AZ336" i="3"/>
  <c r="AZ362" i="3"/>
  <c r="S12" i="37"/>
  <c r="AA12" i="37"/>
  <c r="U37" i="37"/>
  <c r="AB37" i="37"/>
  <c r="BA585" i="3"/>
  <c r="AZ585" i="3" s="1"/>
  <c r="J38" i="34"/>
  <c r="W38" i="34" s="1"/>
  <c r="F38" i="34"/>
  <c r="S38" i="34" s="1"/>
  <c r="E114" i="34"/>
  <c r="F114" i="34" s="1"/>
  <c r="G114" i="34" s="1"/>
  <c r="H114" i="34" s="1"/>
  <c r="I114" i="34" s="1"/>
  <c r="J114" i="34" s="1"/>
  <c r="K114" i="34" s="1"/>
  <c r="L114" i="34" s="1"/>
  <c r="M114" i="34" s="1"/>
  <c r="S34" i="37"/>
  <c r="AA34" i="37"/>
  <c r="BA575" i="3"/>
  <c r="AZ575" i="3" s="1"/>
  <c r="BA564" i="3"/>
  <c r="BL563" i="3"/>
  <c r="AC14" i="21"/>
  <c r="S8" i="37"/>
  <c r="AA8" i="37"/>
  <c r="AA8" i="39"/>
  <c r="S8" i="39"/>
  <c r="AC33" i="40"/>
  <c r="W33" i="40"/>
  <c r="BA551" i="3"/>
  <c r="BA523" i="3"/>
  <c r="G521" i="3"/>
  <c r="BL520" i="3"/>
  <c r="AZ520" i="3" s="1"/>
  <c r="BA516" i="3"/>
  <c r="BL513" i="3"/>
  <c r="BA502" i="3"/>
  <c r="AZ502" i="3" s="1"/>
  <c r="BG5" i="3"/>
  <c r="BA36" i="3"/>
  <c r="BE5" i="3"/>
  <c r="W36" i="34"/>
  <c r="AC36" i="34"/>
  <c r="W12" i="34"/>
  <c r="AC12" i="34"/>
  <c r="J43" i="39"/>
  <c r="H43" i="39"/>
  <c r="BA577" i="3"/>
  <c r="BL574" i="3"/>
  <c r="BL570" i="3"/>
  <c r="AZ570" i="3" s="1"/>
  <c r="BA544" i="3"/>
  <c r="AZ544" i="3" s="1"/>
  <c r="BL539" i="3"/>
  <c r="AZ539" i="3" s="1"/>
  <c r="BA536" i="3"/>
  <c r="AZ536" i="3" s="1"/>
  <c r="BL533" i="3"/>
  <c r="BL523" i="3"/>
  <c r="BL519" i="3"/>
  <c r="AZ519" i="3" s="1"/>
  <c r="G518" i="3"/>
  <c r="BL516" i="3"/>
  <c r="BL514" i="3"/>
  <c r="AZ514" i="3" s="1"/>
  <c r="BL510" i="3"/>
  <c r="BA508" i="3"/>
  <c r="AZ508" i="3" s="1"/>
  <c r="BA505" i="3"/>
  <c r="AZ505" i="3" s="1"/>
  <c r="G497" i="3"/>
  <c r="BA496" i="3"/>
  <c r="AZ496" i="3" s="1"/>
  <c r="BL493" i="3"/>
  <c r="AZ493" i="3" s="1"/>
  <c r="AZ219" i="3"/>
  <c r="BA586" i="3"/>
  <c r="AZ586" i="3" s="1"/>
  <c r="B74" i="43"/>
  <c r="B65" i="43"/>
  <c r="H45" i="39"/>
  <c r="F45" i="39"/>
  <c r="AA38" i="39"/>
  <c r="S38" i="39"/>
  <c r="G584" i="3"/>
  <c r="BA561" i="3"/>
  <c r="AZ561" i="3" s="1"/>
  <c r="G557" i="3"/>
  <c r="BA550" i="3"/>
  <c r="AZ550" i="3" s="1"/>
  <c r="BJ5" i="3"/>
  <c r="BH5" i="3"/>
  <c r="AZ384" i="3"/>
  <c r="BQ5" i="3"/>
  <c r="F28" i="6" s="1"/>
  <c r="BA408" i="3"/>
  <c r="BA420" i="3"/>
  <c r="AZ420" i="3" s="1"/>
  <c r="AZ430" i="3"/>
  <c r="G452" i="3"/>
  <c r="BA348" i="3"/>
  <c r="BA354" i="3"/>
  <c r="AZ354" i="3" s="1"/>
  <c r="BA236" i="3"/>
  <c r="G142" i="3"/>
  <c r="BL182" i="3"/>
  <c r="AZ182" i="3" s="1"/>
  <c r="BL421" i="3"/>
  <c r="AZ456" i="3"/>
  <c r="BA245" i="3"/>
  <c r="AZ245" i="3" s="1"/>
  <c r="BA287" i="3"/>
  <c r="AZ287" i="3" s="1"/>
  <c r="AZ118" i="3"/>
  <c r="BA406" i="3"/>
  <c r="AZ406" i="3" s="1"/>
  <c r="BL442" i="3"/>
  <c r="BA316" i="3"/>
  <c r="BA396" i="3"/>
  <c r="G215" i="3"/>
  <c r="BL270" i="3"/>
  <c r="AA10" i="33"/>
  <c r="U19" i="39"/>
  <c r="AC11" i="39"/>
  <c r="U14" i="40"/>
  <c r="F17" i="34"/>
  <c r="W40" i="39"/>
  <c r="H12" i="21"/>
  <c r="BL431" i="3"/>
  <c r="BA459" i="3"/>
  <c r="BA315" i="3"/>
  <c r="AZ315" i="3" s="1"/>
  <c r="BL244" i="3"/>
  <c r="BA264" i="3"/>
  <c r="BL269" i="3"/>
  <c r="G270" i="3"/>
  <c r="BL286" i="3"/>
  <c r="BL207" i="3"/>
  <c r="G18" i="3"/>
  <c r="U9" i="39"/>
  <c r="G410" i="3"/>
  <c r="BA445" i="3"/>
  <c r="BL449" i="3"/>
  <c r="AZ449" i="3" s="1"/>
  <c r="AZ461" i="3"/>
  <c r="BL470" i="3"/>
  <c r="BA213" i="3"/>
  <c r="G244" i="3"/>
  <c r="G286" i="3"/>
  <c r="L108" i="43"/>
  <c r="L100" i="43"/>
  <c r="E108" i="43"/>
  <c r="E100" i="43"/>
  <c r="D24" i="67"/>
  <c r="D22" i="67"/>
  <c r="BL399" i="3"/>
  <c r="AZ399" i="3" s="1"/>
  <c r="BL405" i="3"/>
  <c r="AZ405" i="3" s="1"/>
  <c r="BA412" i="3"/>
  <c r="BL419" i="3"/>
  <c r="AZ419" i="3" s="1"/>
  <c r="BA423" i="3"/>
  <c r="BA429" i="3"/>
  <c r="AZ429" i="3" s="1"/>
  <c r="BA435" i="3"/>
  <c r="BA440" i="3"/>
  <c r="AZ440" i="3" s="1"/>
  <c r="BL453" i="3"/>
  <c r="AZ453" i="3" s="1"/>
  <c r="BL468" i="3"/>
  <c r="AZ468" i="3" s="1"/>
  <c r="BA475" i="3"/>
  <c r="AZ475" i="3" s="1"/>
  <c r="BL481" i="3"/>
  <c r="AZ481" i="3" s="1"/>
  <c r="BA339" i="3"/>
  <c r="AZ339" i="3" s="1"/>
  <c r="BA353" i="3"/>
  <c r="BA374" i="3"/>
  <c r="AZ374" i="3" s="1"/>
  <c r="BL212" i="3"/>
  <c r="BA231" i="3"/>
  <c r="BA234" i="3"/>
  <c r="AZ234" i="3" s="1"/>
  <c r="BA242" i="3"/>
  <c r="BL258" i="3"/>
  <c r="AZ258" i="3" s="1"/>
  <c r="BA269" i="3"/>
  <c r="BA293" i="3"/>
  <c r="AZ293" i="3" s="1"/>
  <c r="BA128" i="3"/>
  <c r="AZ128" i="3" s="1"/>
  <c r="BL35" i="3"/>
  <c r="AZ35" i="3" s="1"/>
  <c r="BL54" i="3"/>
  <c r="AZ54" i="3" s="1"/>
  <c r="AZ398" i="3"/>
  <c r="AZ489" i="3"/>
  <c r="AZ332" i="3"/>
  <c r="BA385" i="3"/>
  <c r="AZ385" i="3" s="1"/>
  <c r="AZ239" i="3"/>
  <c r="BL126" i="3"/>
  <c r="AZ126" i="3" s="1"/>
  <c r="BA409" i="3"/>
  <c r="BL417" i="3"/>
  <c r="AZ417" i="3" s="1"/>
  <c r="BL428" i="3"/>
  <c r="BA446" i="3"/>
  <c r="AZ446" i="3" s="1"/>
  <c r="BA451" i="3"/>
  <c r="BA463" i="3"/>
  <c r="AZ463" i="3" s="1"/>
  <c r="AZ18" i="3"/>
  <c r="BL422" i="3"/>
  <c r="BL433" i="3"/>
  <c r="AZ433" i="3" s="1"/>
  <c r="BL439" i="3"/>
  <c r="AZ439" i="3" s="1"/>
  <c r="BL445" i="3"/>
  <c r="BL459" i="3"/>
  <c r="BA464" i="3"/>
  <c r="AZ464" i="3" s="1"/>
  <c r="BA472" i="3"/>
  <c r="AZ472" i="3" s="1"/>
  <c r="AZ479" i="3"/>
  <c r="BA491" i="3"/>
  <c r="BL210" i="3"/>
  <c r="BA215" i="3"/>
  <c r="AZ215" i="3" s="1"/>
  <c r="BL223" i="3"/>
  <c r="AZ223" i="3" s="1"/>
  <c r="BL247" i="3"/>
  <c r="BL278" i="3"/>
  <c r="AZ278" i="3" s="1"/>
  <c r="BA299" i="3"/>
  <c r="BL119" i="3"/>
  <c r="AZ119" i="3" s="1"/>
  <c r="BL134" i="3"/>
  <c r="AZ134" i="3" s="1"/>
  <c r="BL150" i="3"/>
  <c r="BA169" i="3"/>
  <c r="BA22" i="3"/>
  <c r="AZ22" i="3" s="1"/>
  <c r="BL28" i="3"/>
  <c r="BL74" i="3"/>
  <c r="AZ74" i="3" s="1"/>
  <c r="BA84" i="3"/>
  <c r="AZ84" i="3" s="1"/>
  <c r="Y29" i="71"/>
  <c r="Z29" i="71" s="1"/>
  <c r="C32" i="71"/>
  <c r="Y30" i="71"/>
  <c r="Z30" i="71" s="1"/>
  <c r="AB29" i="71"/>
  <c r="AB26" i="71"/>
  <c r="AB24" i="71"/>
  <c r="AB25" i="71"/>
  <c r="BL402" i="3"/>
  <c r="AZ402" i="3" s="1"/>
  <c r="G409" i="3"/>
  <c r="BL416" i="3"/>
  <c r="AZ416" i="3" s="1"/>
  <c r="BL427" i="3"/>
  <c r="BA438" i="3"/>
  <c r="AZ438" i="3" s="1"/>
  <c r="BA443" i="3"/>
  <c r="AZ443" i="3" s="1"/>
  <c r="BL450" i="3"/>
  <c r="AZ450" i="3" s="1"/>
  <c r="BL457" i="3"/>
  <c r="BL465" i="3"/>
  <c r="AZ465" i="3" s="1"/>
  <c r="BL471" i="3"/>
  <c r="BA487" i="3"/>
  <c r="BL308" i="3"/>
  <c r="AZ308" i="3" s="1"/>
  <c r="BL316" i="3"/>
  <c r="G349" i="3"/>
  <c r="BA358" i="3"/>
  <c r="AZ358" i="3" s="1"/>
  <c r="BA366" i="3"/>
  <c r="AZ366" i="3" s="1"/>
  <c r="BL214" i="3"/>
  <c r="BL221" i="3"/>
  <c r="AZ221" i="3" s="1"/>
  <c r="BA229" i="3"/>
  <c r="G237" i="3"/>
  <c r="BL239" i="3"/>
  <c r="BA244" i="3"/>
  <c r="AZ244" i="3" s="1"/>
  <c r="G255" i="3"/>
  <c r="BL265" i="3"/>
  <c r="AZ265" i="3" s="1"/>
  <c r="BA271" i="3"/>
  <c r="AZ271" i="3" s="1"/>
  <c r="BL275" i="3"/>
  <c r="AZ275" i="3" s="1"/>
  <c r="BL291" i="3"/>
  <c r="AZ291" i="3" s="1"/>
  <c r="BA117" i="3"/>
  <c r="BL118" i="3"/>
  <c r="BA153" i="3"/>
  <c r="AZ153" i="3" s="1"/>
  <c r="BA157" i="3"/>
  <c r="BA193" i="3"/>
  <c r="AZ193" i="3" s="1"/>
  <c r="G207" i="3"/>
  <c r="BA28" i="3"/>
  <c r="G93" i="3"/>
  <c r="BA108" i="3"/>
  <c r="AA31" i="71"/>
  <c r="AA26" i="71"/>
  <c r="E32" i="71"/>
  <c r="E33" i="71" s="1"/>
  <c r="U33" i="71" s="1"/>
  <c r="AA24" i="71"/>
  <c r="AA25" i="71"/>
  <c r="BA401" i="3"/>
  <c r="BL408" i="3"/>
  <c r="BA415" i="3"/>
  <c r="BA426" i="3"/>
  <c r="AZ426" i="3" s="1"/>
  <c r="BA431" i="3"/>
  <c r="BA437" i="3"/>
  <c r="G443" i="3"/>
  <c r="BA457" i="3"/>
  <c r="BA471" i="3"/>
  <c r="AZ471" i="3" s="1"/>
  <c r="BA476" i="3"/>
  <c r="BL478" i="3"/>
  <c r="BA483" i="3"/>
  <c r="AZ483" i="3" s="1"/>
  <c r="BA485" i="3"/>
  <c r="AZ485" i="3" s="1"/>
  <c r="BL486" i="3"/>
  <c r="BA303" i="3"/>
  <c r="AZ303" i="3" s="1"/>
  <c r="BL348" i="3"/>
  <c r="BA392" i="3"/>
  <c r="AZ392" i="3" s="1"/>
  <c r="G214" i="3"/>
  <c r="BA217" i="3"/>
  <c r="BL236" i="3"/>
  <c r="BL243" i="3"/>
  <c r="AZ243" i="3" s="1"/>
  <c r="BL254" i="3"/>
  <c r="BA261" i="3"/>
  <c r="AZ261" i="3" s="1"/>
  <c r="BL264" i="3"/>
  <c r="BL285" i="3"/>
  <c r="BL301" i="3"/>
  <c r="AZ301" i="3" s="1"/>
  <c r="BA116" i="3"/>
  <c r="AZ116" i="3" s="1"/>
  <c r="BL141" i="3"/>
  <c r="BL149" i="3"/>
  <c r="AZ149" i="3" s="1"/>
  <c r="BA184" i="3"/>
  <c r="AZ184" i="3" s="1"/>
  <c r="BA186" i="3"/>
  <c r="AZ186" i="3" s="1"/>
  <c r="BA190" i="3"/>
  <c r="AZ190" i="3" s="1"/>
  <c r="BL206" i="3"/>
  <c r="BL62" i="3"/>
  <c r="BL90" i="3"/>
  <c r="S21" i="33"/>
  <c r="AA21" i="33"/>
  <c r="D72" i="71"/>
  <c r="C71" i="71"/>
  <c r="D71" i="71" s="1"/>
  <c r="Y22" i="71"/>
  <c r="Z22" i="71" s="1"/>
  <c r="C27" i="71"/>
  <c r="Y26" i="71"/>
  <c r="Z26" i="71" s="1"/>
  <c r="Y25" i="71"/>
  <c r="Z25" i="71" s="1"/>
  <c r="Y24" i="71"/>
  <c r="Z24" i="71" s="1"/>
  <c r="Y19" i="71"/>
  <c r="Z19" i="71" s="1"/>
  <c r="Y28" i="71"/>
  <c r="Z28" i="71" s="1"/>
  <c r="Y27" i="71"/>
  <c r="Z27" i="71" s="1"/>
  <c r="AB31" i="71"/>
  <c r="BL462" i="3"/>
  <c r="AZ462" i="3" s="1"/>
  <c r="BL490" i="3"/>
  <c r="BA350" i="3"/>
  <c r="AZ350" i="3" s="1"/>
  <c r="BL383" i="3"/>
  <c r="AZ383" i="3" s="1"/>
  <c r="BA208" i="3"/>
  <c r="AZ208" i="3" s="1"/>
  <c r="BL216" i="3"/>
  <c r="AZ216" i="3" s="1"/>
  <c r="BL226" i="3"/>
  <c r="BL231" i="3"/>
  <c r="BA254" i="3"/>
  <c r="BA260" i="3"/>
  <c r="BA267" i="3"/>
  <c r="BL294" i="3"/>
  <c r="BL115" i="3"/>
  <c r="AZ115" i="3" s="1"/>
  <c r="BL129" i="3"/>
  <c r="BA137" i="3"/>
  <c r="AZ137" i="3" s="1"/>
  <c r="BL145" i="3"/>
  <c r="BA150" i="3"/>
  <c r="BA152" i="3"/>
  <c r="AZ152" i="3" s="1"/>
  <c r="BL154" i="3"/>
  <c r="AZ154" i="3" s="1"/>
  <c r="BL157" i="3"/>
  <c r="BA165" i="3"/>
  <c r="AZ165" i="3" s="1"/>
  <c r="BL51" i="3"/>
  <c r="AZ51" i="3" s="1"/>
  <c r="BA57" i="3"/>
  <c r="AZ57" i="3" s="1"/>
  <c r="BA75" i="3"/>
  <c r="BL77" i="3"/>
  <c r="AZ77" i="3" s="1"/>
  <c r="C60" i="71"/>
  <c r="D59" i="71"/>
  <c r="BA349" i="3"/>
  <c r="AZ349" i="3" s="1"/>
  <c r="BA214" i="3"/>
  <c r="BA224" i="3"/>
  <c r="AZ224" i="3" s="1"/>
  <c r="BA230" i="3"/>
  <c r="AZ230" i="3" s="1"/>
  <c r="BA237" i="3"/>
  <c r="BL246" i="3"/>
  <c r="BL252" i="3"/>
  <c r="BL272" i="3"/>
  <c r="AZ272" i="3" s="1"/>
  <c r="BL274" i="3"/>
  <c r="AZ274" i="3" s="1"/>
  <c r="BL289" i="3"/>
  <c r="BL298" i="3"/>
  <c r="AZ298" i="3" s="1"/>
  <c r="BA136" i="3"/>
  <c r="AZ136" i="3" s="1"/>
  <c r="BA164" i="3"/>
  <c r="AZ164" i="3" s="1"/>
  <c r="BL187" i="3"/>
  <c r="AZ187" i="3" s="1"/>
  <c r="BA30" i="3"/>
  <c r="BA43" i="3"/>
  <c r="BA71" i="3"/>
  <c r="AZ87" i="3"/>
  <c r="AZ95" i="3"/>
  <c r="C41" i="71"/>
  <c r="Q62" i="71"/>
  <c r="AA20" i="71"/>
  <c r="AA18" i="71"/>
  <c r="BA458" i="3"/>
  <c r="AZ458" i="3" s="1"/>
  <c r="BA488" i="3"/>
  <c r="AZ488" i="3" s="1"/>
  <c r="BL346" i="3"/>
  <c r="AZ346" i="3" s="1"/>
  <c r="BL381" i="3"/>
  <c r="AZ381" i="3" s="1"/>
  <c r="BL397" i="3"/>
  <c r="AZ397" i="3" s="1"/>
  <c r="BL222" i="3"/>
  <c r="AZ222" i="3" s="1"/>
  <c r="BL259" i="3"/>
  <c r="AZ259" i="3" s="1"/>
  <c r="BL267" i="3"/>
  <c r="BA276" i="3"/>
  <c r="AZ276" i="3" s="1"/>
  <c r="BL290" i="3"/>
  <c r="AZ290" i="3" s="1"/>
  <c r="BA142" i="3"/>
  <c r="AZ142" i="3" s="1"/>
  <c r="BL165" i="3"/>
  <c r="BA168" i="3"/>
  <c r="AZ168" i="3" s="1"/>
  <c r="BA170" i="3"/>
  <c r="AZ170" i="3" s="1"/>
  <c r="BA177" i="3"/>
  <c r="AZ177" i="3" s="1"/>
  <c r="BA178" i="3"/>
  <c r="BL195" i="3"/>
  <c r="AZ195" i="3" s="1"/>
  <c r="AZ201" i="3"/>
  <c r="BL31" i="3"/>
  <c r="AZ31" i="3" s="1"/>
  <c r="BL37" i="3"/>
  <c r="BA62" i="3"/>
  <c r="BL64" i="3"/>
  <c r="AZ64" i="3" s="1"/>
  <c r="BA94" i="3"/>
  <c r="BL97" i="3"/>
  <c r="BL100" i="3"/>
  <c r="AZ100" i="3" s="1"/>
  <c r="BA106" i="3"/>
  <c r="AZ106" i="3" s="1"/>
  <c r="B56" i="71"/>
  <c r="B57" i="71" s="1"/>
  <c r="S57" i="71" s="1"/>
  <c r="AF12" i="43"/>
  <c r="AF10" i="43"/>
  <c r="AB20" i="71"/>
  <c r="AB12" i="71"/>
  <c r="AB7" i="71"/>
  <c r="AB11" i="71"/>
  <c r="AB8" i="71"/>
  <c r="AB10" i="71"/>
  <c r="AB9" i="71"/>
  <c r="G457" i="3"/>
  <c r="BA469" i="3"/>
  <c r="BA480" i="3"/>
  <c r="AZ480" i="3" s="1"/>
  <c r="BA395" i="3"/>
  <c r="G213" i="3"/>
  <c r="BL213" i="3"/>
  <c r="BA220" i="3"/>
  <c r="AZ220" i="3" s="1"/>
  <c r="G229" i="3"/>
  <c r="BL229" i="3"/>
  <c r="BL237" i="3"/>
  <c r="BL242" i="3"/>
  <c r="G243" i="3"/>
  <c r="BA250" i="3"/>
  <c r="AZ250" i="3" s="1"/>
  <c r="G266" i="3"/>
  <c r="BL268" i="3"/>
  <c r="AZ268" i="3" s="1"/>
  <c r="G292" i="3"/>
  <c r="BA292" i="3"/>
  <c r="BL121" i="3"/>
  <c r="BL163" i="3"/>
  <c r="AZ163" i="3" s="1"/>
  <c r="BL166" i="3"/>
  <c r="BA185" i="3"/>
  <c r="AZ185" i="3" s="1"/>
  <c r="BL194" i="3"/>
  <c r="AZ194" i="3" s="1"/>
  <c r="BA206" i="3"/>
  <c r="AZ206" i="3" s="1"/>
  <c r="BA207" i="3"/>
  <c r="BL23" i="3"/>
  <c r="AZ23" i="3" s="1"/>
  <c r="G37" i="3"/>
  <c r="BL43" i="3"/>
  <c r="BA63" i="3"/>
  <c r="AZ63" i="3" s="1"/>
  <c r="BL76" i="3"/>
  <c r="G91" i="3"/>
  <c r="BL93" i="3"/>
  <c r="G94" i="3"/>
  <c r="BA96" i="3"/>
  <c r="BL105" i="3"/>
  <c r="BL110" i="3"/>
  <c r="BL266" i="3"/>
  <c r="AZ266" i="3" s="1"/>
  <c r="BA273" i="3"/>
  <c r="AZ273" i="3" s="1"/>
  <c r="BA279" i="3"/>
  <c r="AZ279" i="3" s="1"/>
  <c r="G289" i="3"/>
  <c r="BA289" i="3"/>
  <c r="BA295" i="3"/>
  <c r="AZ295" i="3" s="1"/>
  <c r="BL114" i="3"/>
  <c r="AZ114" i="3" s="1"/>
  <c r="G115" i="3"/>
  <c r="BL125" i="3"/>
  <c r="AZ125" i="3" s="1"/>
  <c r="BL135" i="3"/>
  <c r="AZ135" i="3" s="1"/>
  <c r="BA176" i="3"/>
  <c r="AZ176" i="3" s="1"/>
  <c r="G191" i="3"/>
  <c r="BL198" i="3"/>
  <c r="BL21" i="3"/>
  <c r="BL70" i="3"/>
  <c r="AZ70" i="3" s="1"/>
  <c r="BL81" i="3"/>
  <c r="BL86" i="3"/>
  <c r="AZ86" i="3" s="1"/>
  <c r="G99" i="3"/>
  <c r="BL107" i="3"/>
  <c r="AZ107" i="3" s="1"/>
  <c r="AC25" i="40"/>
  <c r="W25" i="40"/>
  <c r="C83" i="71"/>
  <c r="D83" i="71" s="1"/>
  <c r="D84" i="71"/>
  <c r="AA28" i="71"/>
  <c r="AA27" i="71"/>
  <c r="AA23" i="71"/>
  <c r="E64" i="71"/>
  <c r="U65" i="71"/>
  <c r="P65" i="71"/>
  <c r="E20" i="71"/>
  <c r="E19" i="71" s="1"/>
  <c r="E18" i="71" s="1"/>
  <c r="E17" i="71" s="1"/>
  <c r="V21" i="71"/>
  <c r="AB14" i="71"/>
  <c r="BA204" i="3"/>
  <c r="AZ204" i="3" s="1"/>
  <c r="BL20" i="3"/>
  <c r="AZ20" i="3" s="1"/>
  <c r="BA24" i="3"/>
  <c r="AZ24" i="3" s="1"/>
  <c r="BA26" i="3"/>
  <c r="BL30" i="3"/>
  <c r="BA38" i="3"/>
  <c r="AZ38" i="3" s="1"/>
  <c r="BL56" i="3"/>
  <c r="AZ56" i="3" s="1"/>
  <c r="BA67" i="3"/>
  <c r="AZ67" i="3" s="1"/>
  <c r="BA78" i="3"/>
  <c r="AZ78" i="3" s="1"/>
  <c r="BA80" i="3"/>
  <c r="AZ80" i="3" s="1"/>
  <c r="BL98" i="3"/>
  <c r="BA104" i="3"/>
  <c r="AC21" i="21"/>
  <c r="W21" i="21"/>
  <c r="B86" i="43"/>
  <c r="C25" i="40"/>
  <c r="V77" i="71"/>
  <c r="F76" i="71"/>
  <c r="F75" i="71" s="1"/>
  <c r="AA21" i="71"/>
  <c r="BA270" i="3"/>
  <c r="BA286" i="3"/>
  <c r="BL288" i="3"/>
  <c r="AZ288" i="3" s="1"/>
  <c r="BA302" i="3"/>
  <c r="AZ302" i="3" s="1"/>
  <c r="G120" i="3"/>
  <c r="BA121" i="3"/>
  <c r="AZ121" i="3" s="1"/>
  <c r="G140" i="3"/>
  <c r="BA141" i="3"/>
  <c r="BL151" i="3"/>
  <c r="AZ151" i="3" s="1"/>
  <c r="G152" i="3"/>
  <c r="BL162" i="3"/>
  <c r="G163" i="3"/>
  <c r="BL175" i="3"/>
  <c r="AZ175" i="3" s="1"/>
  <c r="BL202" i="3"/>
  <c r="AZ202" i="3" s="1"/>
  <c r="BL47" i="3"/>
  <c r="G48" i="3"/>
  <c r="BL55" i="3"/>
  <c r="BA60" i="3"/>
  <c r="AZ60" i="3" s="1"/>
  <c r="BA76" i="3"/>
  <c r="BA79" i="3"/>
  <c r="BL88" i="3"/>
  <c r="AZ88" i="3" s="1"/>
  <c r="G90" i="3"/>
  <c r="BA98" i="3"/>
  <c r="BA105" i="3"/>
  <c r="BA112" i="3"/>
  <c r="F3" i="35"/>
  <c r="Y21" i="71"/>
  <c r="Z21" i="71" s="1"/>
  <c r="Y14" i="71"/>
  <c r="Z14" i="71" s="1"/>
  <c r="Y15" i="71"/>
  <c r="Z15" i="71" s="1"/>
  <c r="BA21" i="3"/>
  <c r="AZ21" i="3" s="1"/>
  <c r="BL39" i="3"/>
  <c r="BA47" i="3"/>
  <c r="BL68" i="3"/>
  <c r="BA93" i="3"/>
  <c r="E59" i="43"/>
  <c r="B57" i="43" s="1"/>
  <c r="AA30" i="71"/>
  <c r="E49" i="71"/>
  <c r="U49" i="71" s="1"/>
  <c r="S65" i="71"/>
  <c r="B64" i="71"/>
  <c r="C68" i="71"/>
  <c r="D69" i="71"/>
  <c r="Y18" i="71"/>
  <c r="Z18" i="71" s="1"/>
  <c r="BA198" i="3"/>
  <c r="AZ198" i="3" s="1"/>
  <c r="G20" i="3"/>
  <c r="BL29" i="3"/>
  <c r="AZ29" i="3" s="1"/>
  <c r="BA37" i="3"/>
  <c r="AZ37" i="3" s="1"/>
  <c r="BL46" i="3"/>
  <c r="AZ46" i="3" s="1"/>
  <c r="BA66" i="3"/>
  <c r="BL75" i="3"/>
  <c r="BA83" i="3"/>
  <c r="BL92" i="3"/>
  <c r="AZ92" i="3" s="1"/>
  <c r="BL101" i="3"/>
  <c r="AZ101" i="3" s="1"/>
  <c r="BL111" i="3"/>
  <c r="AZ111" i="3" s="1"/>
  <c r="AA22" i="71"/>
  <c r="E24" i="71"/>
  <c r="E23" i="71" s="1"/>
  <c r="V25" i="71"/>
  <c r="Y6" i="71"/>
  <c r="Z6" i="71" s="1"/>
  <c r="T65" i="71"/>
  <c r="O65" i="71"/>
  <c r="D65" i="71"/>
  <c r="C64" i="71"/>
  <c r="AB22" i="71"/>
  <c r="AB23" i="71"/>
  <c r="X19" i="71"/>
  <c r="AB15" i="71"/>
  <c r="Y8" i="71"/>
  <c r="Z8" i="71" s="1"/>
  <c r="X14" i="71"/>
  <c r="AB6" i="71"/>
  <c r="BL197" i="3"/>
  <c r="AZ197" i="3" s="1"/>
  <c r="BL19" i="3"/>
  <c r="AZ19" i="3" s="1"/>
  <c r="BA27" i="3"/>
  <c r="AZ27" i="3" s="1"/>
  <c r="BL36" i="3"/>
  <c r="BA44" i="3"/>
  <c r="AZ44" i="3" s="1"/>
  <c r="BL65" i="3"/>
  <c r="BA73" i="3"/>
  <c r="AZ73" i="3" s="1"/>
  <c r="BL82" i="3"/>
  <c r="AZ82" i="3" s="1"/>
  <c r="BA90" i="3"/>
  <c r="AZ90" i="3" s="1"/>
  <c r="BA99" i="3"/>
  <c r="AZ99" i="3" s="1"/>
  <c r="BA109" i="3"/>
  <c r="AZ109" i="3" s="1"/>
  <c r="I108" i="43"/>
  <c r="I100" i="43"/>
  <c r="AB21" i="33"/>
  <c r="S18" i="36"/>
  <c r="AA18" i="36"/>
  <c r="B27" i="71"/>
  <c r="B28" i="71" s="1"/>
  <c r="B29" i="71" s="1"/>
  <c r="S29" i="71" s="1"/>
  <c r="X22" i="71"/>
  <c r="X23" i="71"/>
  <c r="N56" i="9"/>
  <c r="M56" i="9"/>
  <c r="K56" i="9"/>
  <c r="X21" i="71"/>
  <c r="AA19" i="71"/>
  <c r="AA12" i="71"/>
  <c r="AA9" i="71"/>
  <c r="AA10" i="71"/>
  <c r="AA3" i="71"/>
  <c r="AA11" i="71"/>
  <c r="AA8" i="71"/>
  <c r="U29" i="39"/>
  <c r="E29" i="71"/>
  <c r="U29" i="71" s="1"/>
  <c r="AB30" i="71"/>
  <c r="F31" i="71"/>
  <c r="F32" i="71" s="1"/>
  <c r="F33" i="71" s="1"/>
  <c r="V33" i="71" s="1"/>
  <c r="AB28" i="71"/>
  <c r="AA7" i="71"/>
  <c r="AA6" i="71"/>
  <c r="C52" i="71"/>
  <c r="D51" i="71"/>
  <c r="AB12" i="43"/>
  <c r="AB10" i="43"/>
  <c r="AA14" i="71"/>
  <c r="M108" i="43"/>
  <c r="M100" i="43"/>
  <c r="AA29" i="71"/>
  <c r="AB35" i="71"/>
  <c r="V73" i="71"/>
  <c r="AB21" i="71"/>
  <c r="AB18" i="71"/>
  <c r="F21" i="71"/>
  <c r="F20" i="71" s="1"/>
  <c r="F19" i="71" s="1"/>
  <c r="F18" i="71" s="1"/>
  <c r="F17" i="71" s="1"/>
  <c r="F16" i="71" s="1"/>
  <c r="F15" i="71" s="1"/>
  <c r="F14" i="71" s="1"/>
  <c r="F13" i="71" s="1"/>
  <c r="F12" i="71" s="1"/>
  <c r="F11" i="71" s="1"/>
  <c r="F10" i="71" s="1"/>
  <c r="F9" i="71" s="1"/>
  <c r="F8" i="71" s="1"/>
  <c r="F7" i="71" s="1"/>
  <c r="F6" i="71" s="1"/>
  <c r="F5" i="71" s="1"/>
  <c r="X12" i="71"/>
  <c r="X11" i="71"/>
  <c r="X10" i="71"/>
  <c r="X9" i="71"/>
  <c r="D76" i="71"/>
  <c r="C75" i="71"/>
  <c r="D75" i="71" s="1"/>
  <c r="Y11" i="71"/>
  <c r="Z11" i="71" s="1"/>
  <c r="Y10" i="71"/>
  <c r="Z10" i="71" s="1"/>
  <c r="Y9" i="71"/>
  <c r="Z9" i="71" s="1"/>
  <c r="X8" i="71"/>
  <c r="Y7" i="71"/>
  <c r="Z7" i="71" s="1"/>
  <c r="Y23" i="71"/>
  <c r="Z23" i="71" s="1"/>
  <c r="X6" i="71"/>
  <c r="B24" i="71"/>
  <c r="B23" i="71" s="1"/>
  <c r="X29" i="71"/>
  <c r="X7" i="71"/>
  <c r="C5" i="68"/>
  <c r="AB40" i="34"/>
  <c r="AB35" i="34"/>
  <c r="W44" i="34"/>
  <c r="S44" i="34"/>
  <c r="U44" i="34"/>
  <c r="Q16" i="1"/>
  <c r="F27" i="69" s="1"/>
  <c r="F45" i="69" s="1"/>
  <c r="AC40" i="34"/>
  <c r="AB33" i="34"/>
  <c r="S43" i="34"/>
  <c r="F22" i="43"/>
  <c r="B113" i="43"/>
  <c r="E22" i="43"/>
  <c r="N104" i="46"/>
  <c r="H101" i="43"/>
  <c r="H107" i="43" s="1"/>
  <c r="E101" i="43"/>
  <c r="E105" i="43" s="1"/>
  <c r="AH11" i="43"/>
  <c r="AH13" i="43" s="1"/>
  <c r="Z11" i="43"/>
  <c r="AG11" i="43"/>
  <c r="AG13" i="43" s="1"/>
  <c r="Y11" i="43"/>
  <c r="Y13" i="43" s="1"/>
  <c r="S6" i="43"/>
  <c r="S4" i="43"/>
  <c r="S7" i="43"/>
  <c r="F101" i="43"/>
  <c r="F107" i="43" s="1"/>
  <c r="C101" i="43"/>
  <c r="H22" i="43"/>
  <c r="M101" i="43"/>
  <c r="M103" i="43" s="1"/>
  <c r="AD11" i="43"/>
  <c r="AD13" i="43" s="1"/>
  <c r="S5" i="43"/>
  <c r="AC11" i="43"/>
  <c r="AC13" i="43" s="1"/>
  <c r="C23" i="43"/>
  <c r="C21" i="43" s="1"/>
  <c r="S3" i="43"/>
  <c r="J22" i="43"/>
  <c r="E2" i="70"/>
  <c r="AR7" i="1"/>
  <c r="H105" i="43"/>
  <c r="H104" i="43"/>
  <c r="M102" i="43"/>
  <c r="T9" i="1"/>
  <c r="AQ9" i="1"/>
  <c r="T11" i="1"/>
  <c r="AQ13" i="1"/>
  <c r="AA11" i="43"/>
  <c r="AA13" i="43" s="1"/>
  <c r="AE11" i="43"/>
  <c r="AI11" i="43"/>
  <c r="AI13" i="43" s="1"/>
  <c r="Z7" i="43"/>
  <c r="AB11" i="43"/>
  <c r="AF11" i="43"/>
  <c r="AF13" i="43" s="1"/>
  <c r="AJ11" i="43"/>
  <c r="AJ13" i="43" s="1"/>
  <c r="T10" i="1"/>
  <c r="T12" i="1"/>
  <c r="S2" i="43"/>
  <c r="C105" i="43"/>
  <c r="G22" i="43"/>
  <c r="I101" i="43"/>
  <c r="I106" i="43" s="1"/>
  <c r="D101" i="43"/>
  <c r="L101" i="43"/>
  <c r="L105" i="43" s="1"/>
  <c r="J101" i="43"/>
  <c r="G101" i="43"/>
  <c r="N101" i="43"/>
  <c r="K101" i="43"/>
  <c r="G11" i="1"/>
  <c r="G16" i="1" s="1"/>
  <c r="F10" i="39" s="1"/>
  <c r="C28" i="15"/>
  <c r="C48" i="69"/>
  <c r="AA40" i="34"/>
  <c r="AB41" i="34"/>
  <c r="AA41" i="34"/>
  <c r="AC39" i="34"/>
  <c r="AB36" i="34"/>
  <c r="W41" i="34"/>
  <c r="U38" i="34"/>
  <c r="S35"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U10" i="34"/>
  <c r="F27" i="11"/>
  <c r="C47" i="11" s="1"/>
  <c r="D45" i="11" s="1"/>
  <c r="T7" i="1"/>
  <c r="AZ15" i="3"/>
  <c r="M7" i="1"/>
  <c r="O7" i="1" s="1"/>
  <c r="P7" i="1" s="1"/>
  <c r="H16" i="1"/>
  <c r="E12" i="6"/>
  <c r="E57" i="40" s="1"/>
  <c r="P6" i="1"/>
  <c r="O9" i="1"/>
  <c r="P9" i="1" s="1"/>
  <c r="C20" i="43"/>
  <c r="AA5" i="71"/>
  <c r="AB5" i="71"/>
  <c r="X5" i="71"/>
  <c r="Y5" i="71"/>
  <c r="Z5" i="71" s="1"/>
  <c r="C69" i="39"/>
  <c r="D67" i="39"/>
  <c r="D69" i="39" s="1"/>
  <c r="E41" i="43"/>
  <c r="C41" i="43" s="1"/>
  <c r="AC21" i="39"/>
  <c r="AB23" i="39"/>
  <c r="AB15" i="39"/>
  <c r="AC15" i="39"/>
  <c r="S25" i="39"/>
  <c r="W39" i="39"/>
  <c r="W42"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AF3" i="71"/>
  <c r="P22" i="43" s="1"/>
  <c r="C36" i="68"/>
  <c r="B10" i="70"/>
  <c r="Q71" i="15"/>
  <c r="B6" i="70"/>
  <c r="I1" i="73"/>
  <c r="B39" i="1" s="1"/>
  <c r="B12" i="70"/>
  <c r="B7" i="70"/>
  <c r="F66" i="67"/>
  <c r="B11" i="70"/>
  <c r="B8" i="70"/>
  <c r="F70" i="67"/>
  <c r="C27" i="67"/>
  <c r="B9" i="70"/>
  <c r="B13" i="70"/>
  <c r="F68" i="67"/>
  <c r="M27" i="67"/>
  <c r="F43" i="67"/>
  <c r="F35" i="67"/>
  <c r="F26" i="15"/>
  <c r="F13" i="15"/>
  <c r="F13" i="67"/>
  <c r="M28" i="15"/>
  <c r="D3" i="73"/>
  <c r="F7" i="15"/>
  <c r="L48" i="67"/>
  <c r="F40" i="15"/>
  <c r="J15" i="15"/>
  <c r="F9" i="67"/>
  <c r="L48" i="15"/>
  <c r="M22" i="15"/>
  <c r="M6" i="15"/>
  <c r="D7" i="73"/>
  <c r="M24" i="15"/>
  <c r="C14" i="15"/>
  <c r="M29" i="67"/>
  <c r="M28" i="67"/>
  <c r="F35" i="15"/>
  <c r="F43" i="15"/>
  <c r="C76" i="67"/>
  <c r="M21" i="67"/>
  <c r="M22" i="67"/>
  <c r="F37" i="67"/>
  <c r="F42" i="15"/>
  <c r="F41" i="15"/>
  <c r="F8" i="67"/>
  <c r="M21" i="15"/>
  <c r="M29" i="15"/>
  <c r="F9" i="15"/>
  <c r="F8" i="15"/>
  <c r="M26" i="15"/>
  <c r="L47" i="67"/>
  <c r="F37" i="15"/>
  <c r="M8" i="15"/>
  <c r="F6" i="15"/>
  <c r="M27" i="15"/>
  <c r="M9" i="67"/>
  <c r="F7" i="67"/>
  <c r="M23" i="15"/>
  <c r="F6" i="67"/>
  <c r="F36" i="15"/>
  <c r="L47" i="15"/>
  <c r="F38" i="15"/>
  <c r="M6" i="67"/>
  <c r="F16" i="15"/>
  <c r="F41" i="67"/>
  <c r="F36" i="67"/>
  <c r="J15" i="67"/>
  <c r="F51" i="67" l="1"/>
  <c r="M7" i="67"/>
  <c r="J6" i="67" s="1"/>
  <c r="J18" i="67" s="1"/>
  <c r="F50" i="67"/>
  <c r="F71" i="67"/>
  <c r="J20" i="67"/>
  <c r="K1" i="73"/>
  <c r="M59" i="67"/>
  <c r="N59" i="67"/>
  <c r="L59" i="67"/>
  <c r="Q61" i="67" s="1"/>
  <c r="L58" i="67"/>
  <c r="Q73" i="67" s="1"/>
  <c r="J53" i="67"/>
  <c r="Q52" i="67" s="1"/>
  <c r="J57" i="67"/>
  <c r="J55" i="67" s="1"/>
  <c r="J58" i="67" s="1"/>
  <c r="Q50" i="67" s="1"/>
  <c r="I54" i="67"/>
  <c r="L56" i="67"/>
  <c r="B116" i="43"/>
  <c r="C116" i="43" s="1"/>
  <c r="I117" i="43"/>
  <c r="J117" i="43" s="1"/>
  <c r="K117" i="43" s="1"/>
  <c r="L117" i="43" s="1"/>
  <c r="M117" i="43" s="1"/>
  <c r="D117" i="43"/>
  <c r="E117" i="43" s="1"/>
  <c r="F117" i="43" s="1"/>
  <c r="G117" i="43" s="1"/>
  <c r="H117" i="43" s="1"/>
  <c r="D118" i="43"/>
  <c r="E118" i="43" s="1"/>
  <c r="F118" i="43" s="1"/>
  <c r="I118" i="43"/>
  <c r="J118" i="43" s="1"/>
  <c r="K118" i="43" s="1"/>
  <c r="L118" i="43" s="1"/>
  <c r="M118" i="43" s="1"/>
  <c r="U12" i="35"/>
  <c r="AB12" i="35"/>
  <c r="AZ98" i="3"/>
  <c r="AZ551" i="3"/>
  <c r="AC28" i="33"/>
  <c r="W28" i="33"/>
  <c r="R22" i="31"/>
  <c r="B20" i="31"/>
  <c r="B21" i="31" s="1"/>
  <c r="D9" i="68"/>
  <c r="C9" i="68" s="1"/>
  <c r="D19" i="12"/>
  <c r="C19" i="12" s="1"/>
  <c r="W9" i="33"/>
  <c r="AC9" i="33"/>
  <c r="AC9" i="36"/>
  <c r="W9" i="36"/>
  <c r="U28" i="33"/>
  <c r="AB28" i="33"/>
  <c r="AZ49" i="3"/>
  <c r="AC35" i="35"/>
  <c r="W35" i="35"/>
  <c r="AA37" i="39"/>
  <c r="S37" i="39"/>
  <c r="D104" i="43"/>
  <c r="D107" i="43"/>
  <c r="AZ299" i="3"/>
  <c r="AC14" i="39"/>
  <c r="W14" i="39"/>
  <c r="AZ52" i="3"/>
  <c r="AZ113" i="3"/>
  <c r="AC12" i="40"/>
  <c r="AA35" i="35"/>
  <c r="S35" i="35"/>
  <c r="AA27" i="21"/>
  <c r="S27" i="21"/>
  <c r="AA46" i="21"/>
  <c r="S46" i="21"/>
  <c r="I116" i="43"/>
  <c r="J116" i="43" s="1"/>
  <c r="K116" i="43" s="1"/>
  <c r="L116" i="43" s="1"/>
  <c r="M116" i="43" s="1"/>
  <c r="AE13" i="43"/>
  <c r="H109" i="43"/>
  <c r="AZ226" i="3"/>
  <c r="D9" i="69"/>
  <c r="C9" i="69" s="1"/>
  <c r="AA9" i="36"/>
  <c r="S9" i="36"/>
  <c r="AC30" i="21"/>
  <c r="W30" i="21"/>
  <c r="S40" i="40"/>
  <c r="AA40" i="40"/>
  <c r="AC37" i="39"/>
  <c r="W37" i="39"/>
  <c r="S12" i="35"/>
  <c r="AA12" i="35"/>
  <c r="AB34" i="35"/>
  <c r="U34" i="35"/>
  <c r="AA9" i="33"/>
  <c r="S9" i="33"/>
  <c r="AC38" i="34"/>
  <c r="Q64" i="71"/>
  <c r="AZ81" i="3"/>
  <c r="AZ110" i="3"/>
  <c r="AZ166" i="3"/>
  <c r="AZ395" i="3"/>
  <c r="AZ97" i="3"/>
  <c r="AZ178" i="3"/>
  <c r="AZ71" i="3"/>
  <c r="AZ129" i="3"/>
  <c r="AZ486" i="3"/>
  <c r="AZ437" i="3"/>
  <c r="AZ247" i="3"/>
  <c r="AZ451" i="3"/>
  <c r="AZ470" i="3"/>
  <c r="AZ574" i="3"/>
  <c r="AZ506" i="3"/>
  <c r="S44" i="33"/>
  <c r="AZ300" i="3"/>
  <c r="AZ413" i="3"/>
  <c r="AZ515" i="3"/>
  <c r="AZ555" i="3"/>
  <c r="AZ583" i="3"/>
  <c r="B16" i="71"/>
  <c r="B15" i="71" s="1"/>
  <c r="B14" i="71" s="1"/>
  <c r="B13" i="71" s="1"/>
  <c r="S17" i="71"/>
  <c r="AC38" i="40"/>
  <c r="W38" i="40"/>
  <c r="S12" i="21"/>
  <c r="AA12" i="21"/>
  <c r="U44" i="33"/>
  <c r="AB44" i="33"/>
  <c r="AB9" i="35"/>
  <c r="U9" i="35"/>
  <c r="AB40" i="40"/>
  <c r="U40" i="40"/>
  <c r="U47" i="34"/>
  <c r="AB47" i="34"/>
  <c r="W34" i="35"/>
  <c r="AC34" i="35"/>
  <c r="AZ228" i="3"/>
  <c r="U38" i="40"/>
  <c r="AB38" i="40"/>
  <c r="AC12" i="21"/>
  <c r="W12" i="21"/>
  <c r="W14" i="34"/>
  <c r="AC14" i="34"/>
  <c r="U29" i="33"/>
  <c r="AB29" i="33"/>
  <c r="AA34" i="35"/>
  <c r="S34" i="35"/>
  <c r="AZ83" i="3"/>
  <c r="AZ469" i="3"/>
  <c r="AZ252" i="3"/>
  <c r="AZ294" i="3"/>
  <c r="AZ169" i="3"/>
  <c r="S13" i="21"/>
  <c r="AZ91" i="3"/>
  <c r="AZ281" i="3"/>
  <c r="AZ218" i="3"/>
  <c r="AZ212" i="3"/>
  <c r="U14" i="34"/>
  <c r="AB14" i="34"/>
  <c r="S39" i="37"/>
  <c r="AA39" i="37"/>
  <c r="AA29" i="33"/>
  <c r="S29" i="33"/>
  <c r="AZ65" i="3"/>
  <c r="AZ162" i="3"/>
  <c r="AZ96" i="3"/>
  <c r="AZ421" i="3"/>
  <c r="AZ145" i="3"/>
  <c r="AZ466" i="3"/>
  <c r="AZ72" i="3"/>
  <c r="Z13" i="43"/>
  <c r="AZ292" i="3"/>
  <c r="AZ246" i="3"/>
  <c r="AZ563" i="3"/>
  <c r="S13" i="40"/>
  <c r="AZ556" i="3"/>
  <c r="AZ541" i="3"/>
  <c r="AB12" i="40"/>
  <c r="U12" i="40"/>
  <c r="S14" i="34"/>
  <c r="AA14" i="34"/>
  <c r="AB28" i="21"/>
  <c r="U28" i="21"/>
  <c r="AC39" i="37"/>
  <c r="W39" i="37"/>
  <c r="W33" i="36"/>
  <c r="AC33" i="36"/>
  <c r="AZ428" i="3"/>
  <c r="AZ423" i="3"/>
  <c r="AZ525" i="3"/>
  <c r="AZ146" i="3"/>
  <c r="AZ40" i="3"/>
  <c r="AZ225" i="3"/>
  <c r="AZ143" i="3"/>
  <c r="AZ410" i="3"/>
  <c r="AZ235" i="3"/>
  <c r="AZ509" i="3"/>
  <c r="AZ403" i="3"/>
  <c r="D56" i="71"/>
  <c r="AZ217" i="3"/>
  <c r="AZ415" i="3"/>
  <c r="AZ108" i="3"/>
  <c r="AZ117" i="3"/>
  <c r="AZ210" i="3"/>
  <c r="AZ25" i="3"/>
  <c r="AZ66" i="3"/>
  <c r="AZ68" i="3"/>
  <c r="AZ55" i="3"/>
  <c r="AZ270" i="3"/>
  <c r="AZ207" i="3"/>
  <c r="AZ260" i="3"/>
  <c r="AZ490" i="3"/>
  <c r="AZ476" i="3"/>
  <c r="AZ229" i="3"/>
  <c r="AZ487" i="3"/>
  <c r="AZ491" i="3"/>
  <c r="AZ422" i="3"/>
  <c r="AZ409" i="3"/>
  <c r="AZ412" i="3"/>
  <c r="AZ442" i="3"/>
  <c r="AZ513" i="3"/>
  <c r="AZ569" i="3"/>
  <c r="AZ138" i="3"/>
  <c r="AZ181" i="3"/>
  <c r="AZ209" i="3"/>
  <c r="AZ382" i="3"/>
  <c r="AZ284" i="3"/>
  <c r="AZ249" i="3"/>
  <c r="AZ238" i="3"/>
  <c r="AZ277" i="3"/>
  <c r="AZ425" i="3"/>
  <c r="S13" i="34"/>
  <c r="AA28" i="21"/>
  <c r="S28" i="21"/>
  <c r="AB33" i="36"/>
  <c r="U33" i="36"/>
  <c r="AC45" i="34"/>
  <c r="F63" i="67"/>
  <c r="C62" i="67" s="1"/>
  <c r="C34" i="67"/>
  <c r="C6" i="67"/>
  <c r="C32" i="67" s="1"/>
  <c r="F64" i="67"/>
  <c r="F65" i="67"/>
  <c r="F69" i="67"/>
  <c r="Q71" i="67"/>
  <c r="W13" i="37"/>
  <c r="AC13" i="37"/>
  <c r="F27" i="68"/>
  <c r="C29" i="68" s="1"/>
  <c r="D27" i="68" s="1"/>
  <c r="AB13" i="43"/>
  <c r="AZ47" i="3"/>
  <c r="AZ105" i="3"/>
  <c r="AZ62" i="3"/>
  <c r="AZ396" i="3"/>
  <c r="AZ584" i="3"/>
  <c r="AZ89" i="3"/>
  <c r="AZ205" i="3"/>
  <c r="AZ173" i="3"/>
  <c r="AZ253" i="3"/>
  <c r="C49" i="71"/>
  <c r="D48" i="71"/>
  <c r="AZ477" i="3"/>
  <c r="AZ161" i="3"/>
  <c r="AZ232" i="3"/>
  <c r="AZ441" i="3"/>
  <c r="W30" i="33"/>
  <c r="AC30" i="33"/>
  <c r="W13" i="21"/>
  <c r="AC13" i="21"/>
  <c r="U26" i="37"/>
  <c r="AB26" i="37"/>
  <c r="U17" i="34"/>
  <c r="AB17" i="34"/>
  <c r="S14" i="40"/>
  <c r="AA14" i="40"/>
  <c r="AC39" i="40"/>
  <c r="W39" i="40"/>
  <c r="AZ39" i="3"/>
  <c r="AZ510" i="3"/>
  <c r="AZ45" i="3"/>
  <c r="AZ296" i="3"/>
  <c r="AZ455" i="3"/>
  <c r="S29" i="34"/>
  <c r="AA29" i="34"/>
  <c r="AC26" i="37"/>
  <c r="W26" i="37"/>
  <c r="AA13" i="37"/>
  <c r="S13" i="37"/>
  <c r="M106" i="43"/>
  <c r="D24" i="71"/>
  <c r="AZ435" i="3"/>
  <c r="AZ564" i="3"/>
  <c r="G29" i="6"/>
  <c r="AZ240" i="3"/>
  <c r="AC13" i="35"/>
  <c r="W13" i="35"/>
  <c r="AC40" i="37"/>
  <c r="W40" i="37"/>
  <c r="G5" i="3"/>
  <c r="B3" i="3" s="1"/>
  <c r="E478" i="3" s="1"/>
  <c r="AB29" i="34"/>
  <c r="U29" i="34"/>
  <c r="F28" i="12"/>
  <c r="C29" i="12" s="1"/>
  <c r="D28" i="12" s="1"/>
  <c r="AZ79" i="3"/>
  <c r="AZ353" i="3"/>
  <c r="C36" i="71"/>
  <c r="D35" i="71"/>
  <c r="W36" i="35"/>
  <c r="AC36" i="35"/>
  <c r="AC31" i="21"/>
  <c r="W31" i="21"/>
  <c r="AB34" i="36"/>
  <c r="U34" i="36"/>
  <c r="U40" i="37"/>
  <c r="AB40" i="37"/>
  <c r="AC46" i="21"/>
  <c r="W46" i="21"/>
  <c r="U14" i="21"/>
  <c r="AB14" i="21"/>
  <c r="I102" i="43"/>
  <c r="H103" i="43"/>
  <c r="AZ214" i="3"/>
  <c r="AZ41" i="3"/>
  <c r="AZ467" i="3"/>
  <c r="AB9" i="34"/>
  <c r="U9" i="34"/>
  <c r="S30" i="33"/>
  <c r="AA30" i="33"/>
  <c r="W34" i="36"/>
  <c r="AC34" i="36"/>
  <c r="AB12" i="36"/>
  <c r="U12" i="36"/>
  <c r="U13" i="35"/>
  <c r="AB13" i="35"/>
  <c r="AA9" i="37"/>
  <c r="S9" i="37"/>
  <c r="AZ93" i="3"/>
  <c r="AZ289" i="3"/>
  <c r="AZ94" i="3"/>
  <c r="AZ43" i="3"/>
  <c r="AZ150" i="3"/>
  <c r="AZ254" i="3"/>
  <c r="AZ285" i="3"/>
  <c r="AZ401" i="3"/>
  <c r="AZ577" i="3"/>
  <c r="AZ36" i="3"/>
  <c r="AZ523" i="3"/>
  <c r="AZ579" i="3"/>
  <c r="AZ102" i="3"/>
  <c r="AZ386" i="3"/>
  <c r="AZ112" i="3"/>
  <c r="AZ104" i="3"/>
  <c r="AZ26" i="3"/>
  <c r="AZ264" i="3"/>
  <c r="AZ85" i="3"/>
  <c r="AZ248" i="3"/>
  <c r="AZ122" i="3"/>
  <c r="AZ233" i="3"/>
  <c r="AZ436" i="3"/>
  <c r="AZ484" i="3"/>
  <c r="AZ59" i="3"/>
  <c r="W14" i="40"/>
  <c r="AC14" i="40"/>
  <c r="S31" i="21"/>
  <c r="AA31" i="21"/>
  <c r="AA33" i="34"/>
  <c r="W33" i="34"/>
  <c r="F68" i="15"/>
  <c r="L58" i="15"/>
  <c r="Q73" i="15" s="1"/>
  <c r="L59" i="15"/>
  <c r="Q61" i="15" s="1"/>
  <c r="N59" i="15"/>
  <c r="M59" i="15"/>
  <c r="F66" i="15"/>
  <c r="I54" i="15"/>
  <c r="J53" i="15"/>
  <c r="L56" i="15" s="1"/>
  <c r="J57" i="15"/>
  <c r="J55" i="15" s="1"/>
  <c r="J58" i="15" s="1"/>
  <c r="Q50" i="15" s="1"/>
  <c r="F51" i="15"/>
  <c r="F63" i="15"/>
  <c r="C62" i="15" s="1"/>
  <c r="C34" i="15"/>
  <c r="J20" i="15"/>
  <c r="M7" i="15"/>
  <c r="J6" i="15" s="1"/>
  <c r="J18" i="15" s="1"/>
  <c r="F50" i="15"/>
  <c r="C6" i="15"/>
  <c r="C32" i="15" s="1"/>
  <c r="C27" i="15"/>
  <c r="F71" i="15"/>
  <c r="F64" i="15"/>
  <c r="F69" i="15"/>
  <c r="F65" i="15"/>
  <c r="AE6" i="3"/>
  <c r="E54" i="3"/>
  <c r="E345" i="3"/>
  <c r="E95" i="3"/>
  <c r="E504" i="3"/>
  <c r="E411" i="3"/>
  <c r="E88" i="3"/>
  <c r="E276" i="3"/>
  <c r="AF6" i="3"/>
  <c r="E448" i="3"/>
  <c r="E481" i="3"/>
  <c r="E126" i="3"/>
  <c r="E389" i="3"/>
  <c r="E59" i="3"/>
  <c r="E323" i="3"/>
  <c r="E587" i="3"/>
  <c r="E70" i="3"/>
  <c r="E102" i="3"/>
  <c r="E55" i="3"/>
  <c r="E73" i="3"/>
  <c r="E23" i="3"/>
  <c r="E340" i="3"/>
  <c r="E264" i="3"/>
  <c r="E554" i="3"/>
  <c r="E436" i="3"/>
  <c r="E121" i="3"/>
  <c r="E29" i="3"/>
  <c r="E38" i="3"/>
  <c r="E137" i="3"/>
  <c r="E364" i="3"/>
  <c r="E283" i="3"/>
  <c r="E83" i="3"/>
  <c r="E13" i="3"/>
  <c r="E463" i="3"/>
  <c r="E27" i="3"/>
  <c r="E391" i="3"/>
  <c r="E74" i="3"/>
  <c r="E480" i="3"/>
  <c r="E425" i="3"/>
  <c r="E67" i="3"/>
  <c r="E176" i="3"/>
  <c r="E164" i="3"/>
  <c r="E456" i="3"/>
  <c r="E468" i="3"/>
  <c r="E106" i="3"/>
  <c r="E166" i="3"/>
  <c r="E279" i="3"/>
  <c r="E42" i="3"/>
  <c r="E15" i="3"/>
  <c r="E46" i="3"/>
  <c r="E235" i="3"/>
  <c r="E36" i="3"/>
  <c r="E184" i="3"/>
  <c r="E381" i="3"/>
  <c r="E113" i="3"/>
  <c r="E365" i="3"/>
  <c r="E78" i="3"/>
  <c r="E50" i="3"/>
  <c r="E309" i="3"/>
  <c r="E379" i="3"/>
  <c r="E288" i="3"/>
  <c r="E417" i="3"/>
  <c r="E178" i="3"/>
  <c r="E273" i="3"/>
  <c r="AM6" i="3"/>
  <c r="E455" i="3"/>
  <c r="E219" i="3"/>
  <c r="E123" i="3"/>
  <c r="E118" i="3"/>
  <c r="E515" i="3"/>
  <c r="W6" i="3"/>
  <c r="E26" i="3"/>
  <c r="E119" i="3"/>
  <c r="E315" i="3"/>
  <c r="E44" i="3"/>
  <c r="E64" i="3"/>
  <c r="E383" i="3"/>
  <c r="E265" i="3"/>
  <c r="E355" i="3"/>
  <c r="E577" i="3"/>
  <c r="E394" i="3"/>
  <c r="E160" i="3"/>
  <c r="E370" i="3"/>
  <c r="R6" i="3"/>
  <c r="E556" i="3"/>
  <c r="E404" i="3"/>
  <c r="E187" i="3"/>
  <c r="E351" i="3"/>
  <c r="E31" i="3"/>
  <c r="E79" i="3"/>
  <c r="E300" i="3"/>
  <c r="E144" i="3"/>
  <c r="E287" i="3"/>
  <c r="E474" i="3"/>
  <c r="E171" i="3"/>
  <c r="E100" i="3"/>
  <c r="E326" i="3"/>
  <c r="J6" i="3"/>
  <c r="E40" i="3"/>
  <c r="E325" i="3"/>
  <c r="P6" i="3"/>
  <c r="E56" i="3"/>
  <c r="E32" i="3"/>
  <c r="E522" i="3"/>
  <c r="E101" i="3"/>
  <c r="E331" i="3"/>
  <c r="E225" i="3"/>
  <c r="E398" i="3"/>
  <c r="E413" i="3"/>
  <c r="E256" i="3"/>
  <c r="E334" i="3"/>
  <c r="E488" i="3"/>
  <c r="E190" i="3"/>
  <c r="E52" i="3"/>
  <c r="E68" i="3"/>
  <c r="E21" i="3"/>
  <c r="E449" i="3"/>
  <c r="E450" i="3"/>
  <c r="E92" i="3"/>
  <c r="E281" i="3"/>
  <c r="E356" i="3"/>
  <c r="E473" i="3"/>
  <c r="E200" i="3"/>
  <c r="E84" i="3"/>
  <c r="E63" i="3"/>
  <c r="E491" i="3"/>
  <c r="E108" i="3"/>
  <c r="E257" i="3"/>
  <c r="E572" i="3"/>
  <c r="E484" i="3"/>
  <c r="E267" i="3"/>
  <c r="E112" i="3"/>
  <c r="E62" i="3"/>
  <c r="E548" i="3"/>
  <c r="E342" i="3"/>
  <c r="E585" i="3"/>
  <c r="E527" i="3"/>
  <c r="E141" i="3"/>
  <c r="E337" i="3"/>
  <c r="E380" i="3"/>
  <c r="E236" i="3"/>
  <c r="E89" i="3"/>
  <c r="S6" i="3"/>
  <c r="E169" i="3"/>
  <c r="E290" i="3"/>
  <c r="E45" i="3"/>
  <c r="E193" i="3"/>
  <c r="E519" i="3"/>
  <c r="E573" i="3"/>
  <c r="E458" i="3"/>
  <c r="E320" i="3"/>
  <c r="E559" i="3"/>
  <c r="E396" i="3"/>
  <c r="E528" i="3"/>
  <c r="E361" i="3"/>
  <c r="E125" i="3"/>
  <c r="E553" i="3"/>
  <c r="N6" i="3"/>
  <c r="E545" i="3"/>
  <c r="E352" i="3"/>
  <c r="E128" i="3"/>
  <c r="E518" i="3"/>
  <c r="E578" i="3"/>
  <c r="E382" i="3"/>
  <c r="E335" i="3"/>
  <c r="E293" i="3"/>
  <c r="E367" i="3"/>
  <c r="E562" i="3"/>
  <c r="E110" i="3"/>
  <c r="E360" i="3"/>
  <c r="E432" i="3"/>
  <c r="E77" i="3"/>
  <c r="E199" i="3"/>
  <c r="E143" i="3"/>
  <c r="E231" i="3"/>
  <c r="E188" i="3"/>
  <c r="E149" i="3"/>
  <c r="E523" i="3"/>
  <c r="E130" i="3"/>
  <c r="E221" i="3"/>
  <c r="E223" i="3"/>
  <c r="E173" i="3"/>
  <c r="E525" i="3"/>
  <c r="T6" i="3"/>
  <c r="E159" i="3"/>
  <c r="E387" i="3"/>
  <c r="E514" i="3"/>
  <c r="E431" i="3"/>
  <c r="E69" i="3"/>
  <c r="E563" i="3"/>
  <c r="E445" i="3"/>
  <c r="E175" i="3"/>
  <c r="E343" i="3"/>
  <c r="E508" i="3"/>
  <c r="AA6" i="3"/>
  <c r="E280" i="3"/>
  <c r="E397" i="3"/>
  <c r="I6" i="3"/>
  <c r="E549" i="3"/>
  <c r="E368" i="3"/>
  <c r="E541" i="3"/>
  <c r="U6" i="3"/>
  <c r="E357" i="3"/>
  <c r="E547" i="3"/>
  <c r="E167" i="3"/>
  <c r="E270" i="3"/>
  <c r="E230" i="3"/>
  <c r="E148" i="3"/>
  <c r="O6" i="3"/>
  <c r="E506" i="3"/>
  <c r="E185" i="3"/>
  <c r="E161" i="3"/>
  <c r="E277" i="3"/>
  <c r="E133" i="3"/>
  <c r="K6" i="3"/>
  <c r="E560" i="3"/>
  <c r="E196" i="3"/>
  <c r="E407" i="3"/>
  <c r="E358" i="3"/>
  <c r="E569" i="3"/>
  <c r="E237" i="3"/>
  <c r="E565" i="3"/>
  <c r="E17" i="3"/>
  <c r="E217" i="3"/>
  <c r="E268" i="3"/>
  <c r="AJ6" i="3"/>
  <c r="E567" i="3"/>
  <c r="E227" i="3"/>
  <c r="E353" i="3"/>
  <c r="AN6" i="3"/>
  <c r="E402" i="3"/>
  <c r="E303" i="3"/>
  <c r="AR6" i="3"/>
  <c r="E269" i="3"/>
  <c r="E338" i="3"/>
  <c r="E61" i="3"/>
  <c r="E224" i="3"/>
  <c r="E532" i="3"/>
  <c r="E529" i="3"/>
  <c r="E510" i="3"/>
  <c r="E263" i="3"/>
  <c r="E570" i="3"/>
  <c r="E260" i="3"/>
  <c r="E426" i="3"/>
  <c r="E336" i="3"/>
  <c r="E511" i="3"/>
  <c r="E348" i="3"/>
  <c r="E507" i="3"/>
  <c r="E375" i="3"/>
  <c r="E145" i="3"/>
  <c r="AS6" i="3"/>
  <c r="E253" i="3"/>
  <c r="E533" i="3"/>
  <c r="E189" i="3"/>
  <c r="E228" i="3"/>
  <c r="E574" i="3"/>
  <c r="E418" i="3"/>
  <c r="E134" i="3"/>
  <c r="E180" i="3"/>
  <c r="E238" i="3"/>
  <c r="E105" i="3"/>
  <c r="E493" i="3"/>
  <c r="E543" i="3"/>
  <c r="E245" i="3"/>
  <c r="AB6" i="3"/>
  <c r="E311" i="3"/>
  <c r="E579" i="3"/>
  <c r="E114" i="3"/>
  <c r="E395" i="3"/>
  <c r="E550" i="3"/>
  <c r="E319" i="3"/>
  <c r="E153" i="3"/>
  <c r="E328" i="3"/>
  <c r="X6" i="3"/>
  <c r="E246" i="3"/>
  <c r="E314" i="3"/>
  <c r="E16" i="3"/>
  <c r="E434" i="3"/>
  <c r="E296" i="3"/>
  <c r="E386" i="3"/>
  <c r="E372" i="3"/>
  <c r="E566" i="3"/>
  <c r="E212" i="3"/>
  <c r="E239" i="3"/>
  <c r="E136" i="3"/>
  <c r="E359" i="3"/>
  <c r="E117" i="3"/>
  <c r="E313" i="3"/>
  <c r="E262" i="3"/>
  <c r="V6" i="3"/>
  <c r="E151" i="3"/>
  <c r="E516" i="3"/>
  <c r="E261" i="3"/>
  <c r="E183" i="3"/>
  <c r="E503" i="3"/>
  <c r="E366" i="3"/>
  <c r="E282" i="3"/>
  <c r="E329" i="3"/>
  <c r="E205" i="3"/>
  <c r="E385" i="3"/>
  <c r="AI6" i="3"/>
  <c r="E423" i="3"/>
  <c r="E247" i="3"/>
  <c r="E415" i="3"/>
  <c r="E501" i="3"/>
  <c r="E583" i="3"/>
  <c r="AK6" i="3"/>
  <c r="E354" i="3"/>
  <c r="E575" i="3"/>
  <c r="E476" i="3"/>
  <c r="E327" i="3"/>
  <c r="E388" i="3"/>
  <c r="E561" i="3"/>
  <c r="E181" i="3"/>
  <c r="E285" i="3"/>
  <c r="E321" i="3"/>
  <c r="E254" i="3"/>
  <c r="E140" i="3"/>
  <c r="E197" i="3"/>
  <c r="E369" i="3"/>
  <c r="E534" i="3"/>
  <c r="E405" i="3"/>
  <c r="E215" i="3"/>
  <c r="M6" i="3"/>
  <c r="E201" i="3"/>
  <c r="E509" i="3"/>
  <c r="E278" i="3"/>
  <c r="E172" i="3"/>
  <c r="E535" i="3"/>
  <c r="E530" i="3"/>
  <c r="E305" i="3"/>
  <c r="E347" i="3"/>
  <c r="E399" i="3"/>
  <c r="E124" i="3"/>
  <c r="E568" i="3"/>
  <c r="E536" i="3"/>
  <c r="E453" i="3"/>
  <c r="E244" i="3"/>
  <c r="E505" i="3"/>
  <c r="E439" i="3"/>
  <c r="E157" i="3"/>
  <c r="E91" i="3"/>
  <c r="E116" i="3"/>
  <c r="E427" i="3"/>
  <c r="E53" i="3"/>
  <c r="E306" i="3"/>
  <c r="E312" i="3"/>
  <c r="E582" i="3"/>
  <c r="E500" i="3"/>
  <c r="E477" i="3"/>
  <c r="E555" i="3"/>
  <c r="E538" i="3"/>
  <c r="E156" i="3"/>
  <c r="E122" i="3"/>
  <c r="E97" i="3"/>
  <c r="E298" i="3"/>
  <c r="E135" i="3"/>
  <c r="E120" i="3"/>
  <c r="E177" i="3"/>
  <c r="E330" i="3"/>
  <c r="Q6" i="3"/>
  <c r="E437" i="3"/>
  <c r="E294" i="3"/>
  <c r="E551" i="3"/>
  <c r="E229" i="3"/>
  <c r="E304" i="3"/>
  <c r="E213" i="3"/>
  <c r="E302" i="3"/>
  <c r="E526" i="3"/>
  <c r="E322" i="3"/>
  <c r="E461" i="3"/>
  <c r="E165" i="3"/>
  <c r="E495" i="3"/>
  <c r="E586" i="3"/>
  <c r="E350" i="3"/>
  <c r="E301" i="3"/>
  <c r="E286" i="3"/>
  <c r="E410" i="3"/>
  <c r="E99" i="3"/>
  <c r="E390" i="3"/>
  <c r="E216" i="3"/>
  <c r="E85" i="3"/>
  <c r="E393" i="3"/>
  <c r="E564" i="3"/>
  <c r="G30" i="6"/>
  <c r="G31" i="6" s="1"/>
  <c r="E28" i="6"/>
  <c r="E539" i="3"/>
  <c r="D68" i="71"/>
  <c r="C67" i="71"/>
  <c r="D67" i="71" s="1"/>
  <c r="E289" i="3"/>
  <c r="E37" i="3"/>
  <c r="E214" i="3"/>
  <c r="E93" i="3"/>
  <c r="C33" i="71"/>
  <c r="D32" i="71"/>
  <c r="AZ408" i="3"/>
  <c r="S45" i="39"/>
  <c r="AA45" i="39"/>
  <c r="AC44" i="39"/>
  <c r="W44" i="39"/>
  <c r="AC12" i="33"/>
  <c r="W12" i="33"/>
  <c r="AA31" i="40"/>
  <c r="S31" i="40"/>
  <c r="L104" i="43"/>
  <c r="AA38" i="34"/>
  <c r="E106" i="43"/>
  <c r="C63" i="71"/>
  <c r="O64" i="71"/>
  <c r="D64" i="71"/>
  <c r="N64" i="71"/>
  <c r="B63" i="71"/>
  <c r="E48" i="3"/>
  <c r="AZ141" i="3"/>
  <c r="P64" i="71"/>
  <c r="E63" i="71"/>
  <c r="E94" i="3"/>
  <c r="E457" i="3"/>
  <c r="AZ28" i="3"/>
  <c r="E409" i="3"/>
  <c r="AZ316" i="3"/>
  <c r="U45" i="39"/>
  <c r="AB45" i="39"/>
  <c r="AZ516" i="3"/>
  <c r="AA44" i="39"/>
  <c r="S44" i="39"/>
  <c r="AZ538" i="3"/>
  <c r="AA38" i="37"/>
  <c r="S38" i="37"/>
  <c r="AB24" i="35"/>
  <c r="U24" i="35"/>
  <c r="AB12" i="33"/>
  <c r="U12" i="33"/>
  <c r="AC14" i="37"/>
  <c r="W14" i="37"/>
  <c r="S30" i="34"/>
  <c r="AA30" i="34"/>
  <c r="U32" i="40"/>
  <c r="AB32" i="40"/>
  <c r="W31" i="40"/>
  <c r="AC31" i="40"/>
  <c r="F48" i="69"/>
  <c r="C30" i="69"/>
  <c r="AB14" i="39"/>
  <c r="U14" i="39"/>
  <c r="C28" i="71"/>
  <c r="D27" i="71"/>
  <c r="AC43" i="39"/>
  <c r="W43" i="39"/>
  <c r="W30" i="34"/>
  <c r="AC30" i="34"/>
  <c r="AA14" i="39"/>
  <c r="S14" i="39"/>
  <c r="H7" i="36"/>
  <c r="E67" i="39"/>
  <c r="E292" i="3"/>
  <c r="AZ30" i="3"/>
  <c r="C61" i="71"/>
  <c r="D60" i="71"/>
  <c r="AZ457" i="3"/>
  <c r="E207" i="3"/>
  <c r="AZ269" i="3"/>
  <c r="AZ213" i="3"/>
  <c r="AZ459" i="3"/>
  <c r="AZ348" i="3"/>
  <c r="AB44" i="39"/>
  <c r="U44" i="39"/>
  <c r="AB38" i="37"/>
  <c r="U38" i="37"/>
  <c r="AA24" i="35"/>
  <c r="S24" i="35"/>
  <c r="AB14" i="37"/>
  <c r="U14" i="37"/>
  <c r="W31" i="33"/>
  <c r="AC31" i="33"/>
  <c r="S32" i="40"/>
  <c r="AA32" i="40"/>
  <c r="AA44" i="21"/>
  <c r="S44" i="21"/>
  <c r="D17" i="53"/>
  <c r="B36" i="72" s="1"/>
  <c r="B34" i="72"/>
  <c r="BA5" i="3"/>
  <c r="E27" i="6" s="1"/>
  <c r="AC24" i="35"/>
  <c r="W24" i="35"/>
  <c r="AA14" i="37"/>
  <c r="S14" i="37"/>
  <c r="S31" i="33"/>
  <c r="AA31" i="33"/>
  <c r="AC32" i="40"/>
  <c r="W32" i="40"/>
  <c r="W44" i="21"/>
  <c r="AC44" i="21"/>
  <c r="C7" i="43"/>
  <c r="BL5" i="3"/>
  <c r="C53" i="71"/>
  <c r="D52" i="71"/>
  <c r="E20" i="3"/>
  <c r="E115" i="3"/>
  <c r="E266" i="3"/>
  <c r="AZ237" i="3"/>
  <c r="T57" i="71"/>
  <c r="D57" i="71"/>
  <c r="AZ157" i="3"/>
  <c r="E255" i="3"/>
  <c r="AZ242" i="3"/>
  <c r="AB12" i="21"/>
  <c r="U12" i="21"/>
  <c r="E452" i="3"/>
  <c r="W11" i="36"/>
  <c r="AC11" i="36"/>
  <c r="E502" i="3"/>
  <c r="AZ540" i="3"/>
  <c r="U44" i="21"/>
  <c r="AB44" i="21"/>
  <c r="W27" i="33"/>
  <c r="AC27" i="33"/>
  <c r="AC35" i="39"/>
  <c r="W35" i="39"/>
  <c r="AZ557" i="3"/>
  <c r="L68" i="9"/>
  <c r="M68" i="9" s="1"/>
  <c r="L63" i="9"/>
  <c r="M63" i="9" s="1"/>
  <c r="M69" i="9" s="1"/>
  <c r="N69" i="9" s="1"/>
  <c r="L65" i="9"/>
  <c r="M65" i="9" s="1"/>
  <c r="L64" i="9"/>
  <c r="M64" i="9" s="1"/>
  <c r="L67" i="9"/>
  <c r="M67" i="9" s="1"/>
  <c r="L66" i="9"/>
  <c r="M66" i="9" s="1"/>
  <c r="C15" i="71"/>
  <c r="D16" i="71"/>
  <c r="D41" i="71"/>
  <c r="T41" i="71"/>
  <c r="E443" i="3"/>
  <c r="E557" i="3"/>
  <c r="E521" i="3"/>
  <c r="U11" i="36"/>
  <c r="AB11" i="36"/>
  <c r="E163" i="3"/>
  <c r="AZ431" i="3"/>
  <c r="E349" i="3"/>
  <c r="E18" i="3"/>
  <c r="E142" i="3"/>
  <c r="E584" i="3"/>
  <c r="AB25" i="36"/>
  <c r="U25" i="36"/>
  <c r="S45" i="34"/>
  <c r="AA45" i="34"/>
  <c r="U26" i="35"/>
  <c r="AB26" i="35"/>
  <c r="AZ558" i="3"/>
  <c r="AA27" i="33"/>
  <c r="S27" i="33"/>
  <c r="F29" i="6"/>
  <c r="AA35" i="39"/>
  <c r="S35" i="39"/>
  <c r="D121" i="9"/>
  <c r="D7" i="52" s="1"/>
  <c r="D6" i="52"/>
  <c r="AZ559" i="3"/>
  <c r="D20" i="53"/>
  <c r="B40" i="72" s="1"/>
  <c r="B38" i="72"/>
  <c r="D125" i="9"/>
  <c r="D11" i="52" s="1"/>
  <c r="D10" i="52"/>
  <c r="H14" i="74"/>
  <c r="B7" i="74" s="1"/>
  <c r="E90" i="3"/>
  <c r="F7" i="36"/>
  <c r="AA7" i="36" s="1"/>
  <c r="R36" i="36" s="1"/>
  <c r="S10" i="34"/>
  <c r="AZ76" i="3"/>
  <c r="E16" i="71"/>
  <c r="E15" i="71" s="1"/>
  <c r="E14" i="71" s="1"/>
  <c r="E13" i="71" s="1"/>
  <c r="V17" i="71"/>
  <c r="E243" i="3"/>
  <c r="AZ267" i="3"/>
  <c r="AZ231" i="3"/>
  <c r="AZ445" i="3"/>
  <c r="AA17" i="34"/>
  <c r="S17" i="34"/>
  <c r="AZ533" i="3"/>
  <c r="S25" i="36"/>
  <c r="AA25" i="36"/>
  <c r="AB46" i="33"/>
  <c r="U46" i="33"/>
  <c r="U11" i="35"/>
  <c r="AB11" i="35"/>
  <c r="AC26" i="35"/>
  <c r="W26" i="35"/>
  <c r="AZ504" i="3"/>
  <c r="AB35" i="39"/>
  <c r="U35" i="39"/>
  <c r="E15" i="6"/>
  <c r="E11" i="6"/>
  <c r="E8" i="6"/>
  <c r="E10" i="6"/>
  <c r="E14" i="6"/>
  <c r="D127" i="9"/>
  <c r="D13" i="52" s="1"/>
  <c r="D12" i="52"/>
  <c r="I14" i="74"/>
  <c r="B8" i="74" s="1"/>
  <c r="B12" i="71"/>
  <c r="B11" i="71" s="1"/>
  <c r="B10" i="71" s="1"/>
  <c r="B9" i="71" s="1"/>
  <c r="S13" i="71"/>
  <c r="J7" i="36"/>
  <c r="E152" i="3"/>
  <c r="AZ286" i="3"/>
  <c r="AZ75" i="3"/>
  <c r="AZ236" i="3"/>
  <c r="E497" i="3"/>
  <c r="U43" i="39"/>
  <c r="AB43" i="39"/>
  <c r="AZ535" i="3"/>
  <c r="S46" i="33"/>
  <c r="AA46" i="33"/>
  <c r="W11" i="35"/>
  <c r="AC11" i="35"/>
  <c r="F48" i="68"/>
  <c r="C30" i="68"/>
  <c r="C48" i="68"/>
  <c r="C47" i="69"/>
  <c r="D45" i="69" s="1"/>
  <c r="C29" i="69"/>
  <c r="D27" i="69" s="1"/>
  <c r="S27" i="34"/>
  <c r="W11" i="34"/>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C29" i="11"/>
  <c r="D27" i="11" s="1"/>
  <c r="D103" i="43"/>
  <c r="E58" i="40"/>
  <c r="E62" i="39"/>
  <c r="K103" i="43"/>
  <c r="K107" i="43"/>
  <c r="K104" i="43"/>
  <c r="K105" i="43"/>
  <c r="K109" i="43"/>
  <c r="K102" i="43"/>
  <c r="K106" i="43"/>
  <c r="G105" i="43"/>
  <c r="G102" i="43"/>
  <c r="G103" i="43"/>
  <c r="G106" i="43"/>
  <c r="G109" i="43"/>
  <c r="G107" i="43"/>
  <c r="G104" i="43"/>
  <c r="L109" i="43"/>
  <c r="L107" i="43"/>
  <c r="L106" i="43"/>
  <c r="L103" i="43"/>
  <c r="I109" i="43"/>
  <c r="I107" i="43"/>
  <c r="I104" i="43"/>
  <c r="I105" i="43"/>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J10" i="40"/>
  <c r="W10" i="40" s="1"/>
  <c r="H10" i="39"/>
  <c r="U10" i="39" s="1"/>
  <c r="F10" i="40"/>
  <c r="AA10" i="40" s="1"/>
  <c r="C15" i="15"/>
  <c r="C18" i="15"/>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AC7" i="37"/>
  <c r="V42" i="37" s="1"/>
  <c r="I42" i="37" s="1"/>
  <c r="W7" i="37"/>
  <c r="AB7" i="36"/>
  <c r="T36" i="36" s="1"/>
  <c r="G36" i="36" s="1"/>
  <c r="U7" i="36"/>
  <c r="AB7" i="34"/>
  <c r="U7" i="34"/>
  <c r="AA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B2" i="70"/>
  <c r="B3" i="70" s="1"/>
  <c r="C14" i="67"/>
  <c r="C16" i="15"/>
  <c r="G1" i="73"/>
  <c r="C17" i="67"/>
  <c r="C16" i="67"/>
  <c r="C17" i="15"/>
  <c r="Q60" i="67" l="1"/>
  <c r="F1" i="67"/>
  <c r="C49" i="67"/>
  <c r="F45" i="68"/>
  <c r="C47" i="68"/>
  <c r="D45" i="68" s="1"/>
  <c r="Q74" i="67"/>
  <c r="Q60" i="15"/>
  <c r="C15" i="67"/>
  <c r="C18" i="67"/>
  <c r="B40" i="1"/>
  <c r="F24" i="67" s="1"/>
  <c r="C24" i="67" s="1"/>
  <c r="E75" i="3"/>
  <c r="E447" i="3"/>
  <c r="E232" i="3"/>
  <c r="E14" i="3"/>
  <c r="E483" i="3"/>
  <c r="E81" i="3"/>
  <c r="E482" i="3"/>
  <c r="E444" i="3"/>
  <c r="E49" i="3"/>
  <c r="AP6" i="3"/>
  <c r="E485" i="3"/>
  <c r="E202" i="3"/>
  <c r="E22" i="3"/>
  <c r="E479" i="3"/>
  <c r="E25" i="3"/>
  <c r="E438" i="3"/>
  <c r="E384" i="3"/>
  <c r="E571" i="3"/>
  <c r="E492" i="3"/>
  <c r="E291" i="3"/>
  <c r="E558" i="3"/>
  <c r="E147" i="3"/>
  <c r="E30" i="3"/>
  <c r="E374" i="3"/>
  <c r="E371" i="3"/>
  <c r="E233" i="3"/>
  <c r="E284" i="3"/>
  <c r="E104" i="3"/>
  <c r="E251" i="3"/>
  <c r="AD6" i="3"/>
  <c r="E440" i="3"/>
  <c r="AB10" i="40"/>
  <c r="E377" i="3"/>
  <c r="E344" i="3"/>
  <c r="E299" i="3"/>
  <c r="E295" i="3"/>
  <c r="E424" i="3"/>
  <c r="E86" i="3"/>
  <c r="E362" i="3"/>
  <c r="E406" i="3"/>
  <c r="E441" i="3"/>
  <c r="E339" i="3"/>
  <c r="E127" i="3"/>
  <c r="E537" i="3"/>
  <c r="E129" i="3"/>
  <c r="E250" i="3"/>
  <c r="I3" i="6"/>
  <c r="E392" i="3"/>
  <c r="E274" i="3"/>
  <c r="E416" i="3"/>
  <c r="E194" i="3"/>
  <c r="E155" i="3"/>
  <c r="E464" i="3"/>
  <c r="E310" i="3"/>
  <c r="E272" i="3"/>
  <c r="E421" i="3"/>
  <c r="E109" i="3"/>
  <c r="AL6" i="3"/>
  <c r="E209" i="3"/>
  <c r="E459" i="3"/>
  <c r="E96" i="3"/>
  <c r="E87" i="3"/>
  <c r="E465" i="3"/>
  <c r="E162" i="3"/>
  <c r="E107" i="3"/>
  <c r="E249" i="3"/>
  <c r="E132" i="3"/>
  <c r="E513" i="3"/>
  <c r="E332" i="3"/>
  <c r="E317" i="3"/>
  <c r="E462" i="3"/>
  <c r="E442" i="3"/>
  <c r="E346" i="3"/>
  <c r="E58" i="3"/>
  <c r="E111" i="3"/>
  <c r="J5" i="67"/>
  <c r="J26" i="67" s="1"/>
  <c r="J29" i="67" s="1"/>
  <c r="E234" i="3"/>
  <c r="E211" i="3"/>
  <c r="E524" i="3"/>
  <c r="E103" i="3"/>
  <c r="E520" i="3"/>
  <c r="E19" i="3"/>
  <c r="E98" i="3"/>
  <c r="E241" i="3"/>
  <c r="E401" i="3"/>
  <c r="E271" i="3"/>
  <c r="E158" i="3"/>
  <c r="E275" i="3"/>
  <c r="L6" i="3"/>
  <c r="E131" i="3"/>
  <c r="E422" i="3"/>
  <c r="E51" i="3"/>
  <c r="E47" i="3"/>
  <c r="E139" i="3"/>
  <c r="E581" i="3"/>
  <c r="E489" i="3"/>
  <c r="E150" i="3"/>
  <c r="E435" i="3"/>
  <c r="AO6" i="3"/>
  <c r="AZ5" i="3"/>
  <c r="AY6" i="3" s="1"/>
  <c r="E170" i="3"/>
  <c r="E198" i="3"/>
  <c r="E218" i="3"/>
  <c r="E467" i="3"/>
  <c r="E531" i="3"/>
  <c r="Y6" i="3"/>
  <c r="H6" i="3" s="1"/>
  <c r="E446" i="3"/>
  <c r="E258" i="3"/>
  <c r="E460" i="3"/>
  <c r="E400" i="3"/>
  <c r="E80" i="3"/>
  <c r="E174" i="3"/>
  <c r="E333" i="3"/>
  <c r="E41" i="3"/>
  <c r="E469" i="3"/>
  <c r="E341" i="3"/>
  <c r="E540" i="3"/>
  <c r="E182" i="3"/>
  <c r="AH6" i="3"/>
  <c r="AC6" i="3" s="1"/>
  <c r="E419" i="3"/>
  <c r="E168" i="3"/>
  <c r="E498" i="3"/>
  <c r="Z6" i="3"/>
  <c r="D49" i="71"/>
  <c r="T49" i="71"/>
  <c r="E580" i="3"/>
  <c r="E496" i="3"/>
  <c r="E33" i="3"/>
  <c r="E316" i="3"/>
  <c r="E576" i="3"/>
  <c r="E66" i="3"/>
  <c r="E76" i="3"/>
  <c r="E146" i="3"/>
  <c r="E430" i="3"/>
  <c r="E542" i="3"/>
  <c r="E206" i="3"/>
  <c r="E412" i="3"/>
  <c r="E226" i="3"/>
  <c r="E546" i="3"/>
  <c r="E252" i="3"/>
  <c r="E24" i="3"/>
  <c r="E378" i="3"/>
  <c r="E71" i="3"/>
  <c r="E512" i="3"/>
  <c r="E408" i="3"/>
  <c r="E72" i="3"/>
  <c r="E486" i="3"/>
  <c r="E318" i="3"/>
  <c r="E494" i="3"/>
  <c r="AQ6" i="3"/>
  <c r="E192" i="3"/>
  <c r="E82" i="3"/>
  <c r="E307" i="3"/>
  <c r="E544" i="3"/>
  <c r="E57" i="3"/>
  <c r="E487" i="3"/>
  <c r="E204" i="3"/>
  <c r="E34" i="3"/>
  <c r="E428" i="3"/>
  <c r="E242" i="3"/>
  <c r="E517" i="3"/>
  <c r="E373" i="3"/>
  <c r="E248" i="3"/>
  <c r="E259" i="3"/>
  <c r="E454" i="3"/>
  <c r="E466" i="3"/>
  <c r="E472" i="3"/>
  <c r="E475" i="3"/>
  <c r="E403" i="3"/>
  <c r="E191" i="3"/>
  <c r="C37" i="71"/>
  <c r="D36" i="71"/>
  <c r="E35" i="3"/>
  <c r="E43" i="3"/>
  <c r="E186" i="3"/>
  <c r="E376" i="3"/>
  <c r="E222" i="3"/>
  <c r="E195" i="3"/>
  <c r="E297" i="3"/>
  <c r="E470" i="3"/>
  <c r="AG6" i="3"/>
  <c r="E552" i="3"/>
  <c r="E433" i="3"/>
  <c r="E414" i="3"/>
  <c r="AC10" i="40"/>
  <c r="E210" i="3"/>
  <c r="E490" i="3"/>
  <c r="E220" i="3"/>
  <c r="E39" i="3"/>
  <c r="E179" i="3"/>
  <c r="E138" i="3"/>
  <c r="E363" i="3"/>
  <c r="E28" i="3"/>
  <c r="E499" i="3"/>
  <c r="E308" i="3"/>
  <c r="E324" i="3"/>
  <c r="E60" i="3"/>
  <c r="E203" i="3"/>
  <c r="E451" i="3"/>
  <c r="E154" i="3"/>
  <c r="E65" i="3"/>
  <c r="E240" i="3"/>
  <c r="E429" i="3"/>
  <c r="E420" i="3"/>
  <c r="E208" i="3"/>
  <c r="E471" i="3"/>
  <c r="C49" i="15"/>
  <c r="Q74" i="15"/>
  <c r="J10" i="15"/>
  <c r="J5" i="15" s="1"/>
  <c r="J24" i="15" s="1"/>
  <c r="E6" i="3"/>
  <c r="S7" i="36"/>
  <c r="B8" i="71"/>
  <c r="B7" i="71" s="1"/>
  <c r="B6" i="71" s="1"/>
  <c r="B5" i="71" s="1"/>
  <c r="S9" i="71"/>
  <c r="E60" i="40"/>
  <c r="E64" i="39"/>
  <c r="D61" i="71"/>
  <c r="T61" i="71"/>
  <c r="T33" i="71"/>
  <c r="D33" i="71"/>
  <c r="K14" i="1"/>
  <c r="K24" i="6"/>
  <c r="M24" i="6" s="1"/>
  <c r="I24" i="6" s="1"/>
  <c r="S24" i="6" s="1"/>
  <c r="K26" i="6"/>
  <c r="M26" i="6" s="1"/>
  <c r="I26" i="6" s="1"/>
  <c r="S26" i="6" s="1"/>
  <c r="K19" i="6"/>
  <c r="K20" i="6"/>
  <c r="M20" i="6" s="1"/>
  <c r="I20" i="6" s="1"/>
  <c r="S20" i="6" s="1"/>
  <c r="K21" i="6"/>
  <c r="M21" i="6" s="1"/>
  <c r="I21" i="6" s="1"/>
  <c r="S21" i="6" s="1"/>
  <c r="K22" i="6"/>
  <c r="M22" i="6" s="1"/>
  <c r="I22" i="6" s="1"/>
  <c r="S22" i="6" s="1"/>
  <c r="K25" i="6"/>
  <c r="M25" i="6" s="1"/>
  <c r="I25" i="6" s="1"/>
  <c r="S25" i="6" s="1"/>
  <c r="K23" i="6"/>
  <c r="M23" i="6" s="1"/>
  <c r="I23" i="6" s="1"/>
  <c r="S23" i="6" s="1"/>
  <c r="P62" i="71"/>
  <c r="P63" i="71"/>
  <c r="F30" i="6"/>
  <c r="E29" i="6"/>
  <c r="K15" i="1" s="1"/>
  <c r="T53" i="71"/>
  <c r="D53" i="71"/>
  <c r="E60" i="39"/>
  <c r="E56" i="40"/>
  <c r="Q52" i="15"/>
  <c r="U7" i="37"/>
  <c r="E63" i="39"/>
  <c r="E59" i="40"/>
  <c r="E12" i="71"/>
  <c r="E11" i="71" s="1"/>
  <c r="E10" i="71" s="1"/>
  <c r="E9" i="71" s="1"/>
  <c r="V13" i="71"/>
  <c r="C14" i="71"/>
  <c r="D15" i="71"/>
  <c r="C29" i="71"/>
  <c r="D28" i="71"/>
  <c r="O62" i="71"/>
  <c r="O63" i="71"/>
  <c r="D63" i="71"/>
  <c r="F1" i="15"/>
  <c r="E16" i="6"/>
  <c r="F27" i="6"/>
  <c r="E56" i="39"/>
  <c r="E51" i="40"/>
  <c r="N63" i="71"/>
  <c r="N62" i="71"/>
  <c r="AB10" i="39"/>
  <c r="C115" i="43"/>
  <c r="D113" i="43" s="1"/>
  <c r="AC37" i="34"/>
  <c r="W37" i="34"/>
  <c r="U37" i="34"/>
  <c r="AB37" i="34"/>
  <c r="U11" i="34"/>
  <c r="AB11" i="34"/>
  <c r="S11" i="34"/>
  <c r="AA11" i="34"/>
  <c r="S10" i="40"/>
  <c r="AC10" i="39"/>
  <c r="C19" i="15"/>
  <c r="C20" i="15" s="1"/>
  <c r="C26" i="15" s="1"/>
  <c r="D3" i="34"/>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10" i="15"/>
  <c r="C5" i="15" s="1"/>
  <c r="C48" i="67" l="1"/>
  <c r="C60" i="67" s="1"/>
  <c r="F22" i="69"/>
  <c r="F41" i="69" s="1"/>
  <c r="F25" i="12"/>
  <c r="C26" i="12" s="1"/>
  <c r="D25" i="12" s="1"/>
  <c r="C19" i="67"/>
  <c r="C20" i="67" s="1"/>
  <c r="C26" i="67" s="1"/>
  <c r="F24" i="15"/>
  <c r="C24" i="15" s="1"/>
  <c r="F22" i="68"/>
  <c r="C44" i="68" s="1"/>
  <c r="D41" i="68" s="1"/>
  <c r="F22" i="11"/>
  <c r="C44" i="11" s="1"/>
  <c r="D41" i="11" s="1"/>
  <c r="E3" i="6"/>
  <c r="J24" i="67"/>
  <c r="AY50" i="3"/>
  <c r="AY289" i="3"/>
  <c r="AY261" i="3"/>
  <c r="AY209" i="3"/>
  <c r="AY455" i="3"/>
  <c r="AY116" i="3"/>
  <c r="AY343" i="3"/>
  <c r="AY417" i="3"/>
  <c r="AY23" i="3"/>
  <c r="AY58" i="3"/>
  <c r="AY428" i="3"/>
  <c r="AY342" i="3"/>
  <c r="AY541" i="3"/>
  <c r="AY45" i="3"/>
  <c r="AY201" i="3"/>
  <c r="AY118" i="3"/>
  <c r="AY231" i="3"/>
  <c r="AY381" i="3"/>
  <c r="AY104" i="3"/>
  <c r="AY177" i="3"/>
  <c r="AY210" i="3"/>
  <c r="AY332" i="3"/>
  <c r="AY446" i="3"/>
  <c r="BM6" i="3"/>
  <c r="AY510" i="3"/>
  <c r="AY519" i="3"/>
  <c r="AY189" i="3"/>
  <c r="AY266" i="3"/>
  <c r="AY313" i="3"/>
  <c r="AY382" i="3"/>
  <c r="AY401" i="3"/>
  <c r="AY36" i="3"/>
  <c r="AY302" i="3"/>
  <c r="BS6" i="3"/>
  <c r="AY279" i="3"/>
  <c r="AY467" i="3"/>
  <c r="BN6" i="3"/>
  <c r="AY49" i="3"/>
  <c r="AY385" i="3"/>
  <c r="AY484" i="3"/>
  <c r="AY423" i="3"/>
  <c r="AY502" i="3"/>
  <c r="BA6" i="3"/>
  <c r="AY187" i="3"/>
  <c r="AY264" i="3"/>
  <c r="AY314" i="3"/>
  <c r="AY517" i="3"/>
  <c r="AY70" i="3"/>
  <c r="AY119" i="3"/>
  <c r="AY367" i="3"/>
  <c r="AY416" i="3"/>
  <c r="AY498" i="3"/>
  <c r="AY366" i="3"/>
  <c r="AY549" i="3"/>
  <c r="AY20" i="3"/>
  <c r="AY286" i="3"/>
  <c r="AY507" i="3"/>
  <c r="AY275" i="3"/>
  <c r="AY480" i="3"/>
  <c r="AY536" i="3"/>
  <c r="AY64" i="3"/>
  <c r="AY361" i="3"/>
  <c r="AY476" i="3"/>
  <c r="AY415" i="3"/>
  <c r="AY515" i="3"/>
  <c r="AY493" i="3"/>
  <c r="AY172" i="3"/>
  <c r="AY248" i="3"/>
  <c r="AY440" i="3"/>
  <c r="AY195" i="3"/>
  <c r="AY322" i="3"/>
  <c r="AY485" i="3"/>
  <c r="AY54" i="3"/>
  <c r="AY351" i="3"/>
  <c r="AY18" i="3"/>
  <c r="AY90" i="3"/>
  <c r="AY75" i="3"/>
  <c r="AY387" i="3"/>
  <c r="AY444" i="3"/>
  <c r="AY269" i="3"/>
  <c r="AY311" i="3"/>
  <c r="AY535" i="3"/>
  <c r="AY176" i="3"/>
  <c r="AY297" i="3"/>
  <c r="AY409" i="3"/>
  <c r="AY465" i="3"/>
  <c r="BE6" i="3"/>
  <c r="AY76" i="3"/>
  <c r="AY185" i="3"/>
  <c r="AY125" i="3"/>
  <c r="AY262" i="3"/>
  <c r="AY374" i="3"/>
  <c r="AY73" i="3"/>
  <c r="AY145" i="3"/>
  <c r="AY388" i="3"/>
  <c r="AY316" i="3"/>
  <c r="AY430" i="3"/>
  <c r="AY585" i="3"/>
  <c r="BG6" i="3"/>
  <c r="AY101" i="3"/>
  <c r="AY158" i="3"/>
  <c r="AY234" i="3"/>
  <c r="AY87" i="3"/>
  <c r="AY303" i="3"/>
  <c r="AY544" i="3"/>
  <c r="AY25" i="3"/>
  <c r="AY271" i="3"/>
  <c r="BI6" i="3"/>
  <c r="AY243" i="3"/>
  <c r="AY464" i="3"/>
  <c r="AY527" i="3"/>
  <c r="AY32" i="3"/>
  <c r="AY352" i="3"/>
  <c r="AY468" i="3"/>
  <c r="AY407" i="3"/>
  <c r="AY565" i="3"/>
  <c r="AY99" i="3"/>
  <c r="AY156" i="3"/>
  <c r="AY232" i="3"/>
  <c r="AY469" i="3"/>
  <c r="AY560" i="3"/>
  <c r="AY38" i="3"/>
  <c r="AY277" i="3"/>
  <c r="AY354" i="3"/>
  <c r="AY429" i="3"/>
  <c r="AY51" i="3"/>
  <c r="AY473" i="3"/>
  <c r="AY540" i="3"/>
  <c r="AY198" i="3"/>
  <c r="AY255" i="3"/>
  <c r="BB6" i="3"/>
  <c r="AY258" i="3"/>
  <c r="AY449" i="3"/>
  <c r="AY520" i="3"/>
  <c r="AY21" i="3"/>
  <c r="AY337" i="3"/>
  <c r="AY461" i="3"/>
  <c r="AY399" i="3"/>
  <c r="AY537" i="3"/>
  <c r="AY110" i="3"/>
  <c r="AY140" i="3"/>
  <c r="AY216" i="3"/>
  <c r="AY421" i="3"/>
  <c r="AY175" i="3"/>
  <c r="AY474" i="3"/>
  <c r="AY451" i="3"/>
  <c r="AY200" i="3"/>
  <c r="AY307" i="3"/>
  <c r="AY196" i="3"/>
  <c r="AY74" i="3"/>
  <c r="AY204" i="3"/>
  <c r="AY363" i="3"/>
  <c r="AY412" i="3"/>
  <c r="AY229" i="3"/>
  <c r="AY326" i="3"/>
  <c r="AY557" i="3"/>
  <c r="AY155" i="3"/>
  <c r="AY268" i="3"/>
  <c r="AY106" i="3"/>
  <c r="AY452" i="3"/>
  <c r="AY553" i="3"/>
  <c r="AY60" i="3"/>
  <c r="AY170" i="3"/>
  <c r="AY299" i="3"/>
  <c r="AY246" i="3"/>
  <c r="AY357" i="3"/>
  <c r="AY41" i="3"/>
  <c r="AY114" i="3"/>
  <c r="AY377" i="3"/>
  <c r="AY491" i="3"/>
  <c r="AY414" i="3"/>
  <c r="AY561" i="3"/>
  <c r="AY16" i="3"/>
  <c r="AY96" i="3"/>
  <c r="AY169" i="3"/>
  <c r="AY223" i="3"/>
  <c r="AY34" i="3"/>
  <c r="AY460" i="3"/>
  <c r="BO6" i="3"/>
  <c r="AY182" i="3"/>
  <c r="AY239" i="3"/>
  <c r="AY93" i="3"/>
  <c r="AY226" i="3"/>
  <c r="AY454" i="3"/>
  <c r="AY518" i="3"/>
  <c r="AY205" i="3"/>
  <c r="AY321" i="3"/>
  <c r="AY453" i="3"/>
  <c r="AY579" i="3"/>
  <c r="AY509" i="3"/>
  <c r="AY94" i="3"/>
  <c r="AY167" i="3"/>
  <c r="AY221" i="3"/>
  <c r="AY466" i="3"/>
  <c r="AY512" i="3"/>
  <c r="AY27" i="3"/>
  <c r="AY273" i="3"/>
  <c r="AY323" i="3"/>
  <c r="AY550" i="3"/>
  <c r="AY207" i="3"/>
  <c r="AY441" i="3"/>
  <c r="AY539" i="3"/>
  <c r="AY193" i="3"/>
  <c r="AY270" i="3"/>
  <c r="AY88" i="3"/>
  <c r="AY215" i="3"/>
  <c r="AY438" i="3"/>
  <c r="AY552" i="3"/>
  <c r="AY174" i="3"/>
  <c r="AY305" i="3"/>
  <c r="AY445" i="3"/>
  <c r="AY505" i="3"/>
  <c r="AY551" i="3"/>
  <c r="AY79" i="3"/>
  <c r="AY151" i="3"/>
  <c r="AY394" i="3"/>
  <c r="AY13" i="3"/>
  <c r="AY136" i="3"/>
  <c r="AY432" i="3"/>
  <c r="AY408" i="3"/>
  <c r="AY164" i="3"/>
  <c r="AY477" i="3"/>
  <c r="AY191" i="3"/>
  <c r="AY31" i="3"/>
  <c r="AY147" i="3"/>
  <c r="AY350" i="3"/>
  <c r="AY425" i="3"/>
  <c r="AY244" i="3"/>
  <c r="AY481" i="3"/>
  <c r="AY562" i="3"/>
  <c r="AY115" i="3"/>
  <c r="AY225" i="3"/>
  <c r="AY180" i="3"/>
  <c r="AY433" i="3"/>
  <c r="AY97" i="3"/>
  <c r="AY44" i="3"/>
  <c r="AY154" i="3"/>
  <c r="AY283" i="3"/>
  <c r="AY230" i="3"/>
  <c r="AY360" i="3"/>
  <c r="AY56" i="3"/>
  <c r="AY295" i="3"/>
  <c r="AY353" i="3"/>
  <c r="AY475" i="3"/>
  <c r="AY398" i="3"/>
  <c r="AY534" i="3"/>
  <c r="AY501" i="3"/>
  <c r="AY65" i="3"/>
  <c r="AY137" i="3"/>
  <c r="AY380" i="3"/>
  <c r="AY144" i="3"/>
  <c r="AY529" i="3"/>
  <c r="AY555" i="3"/>
  <c r="AY178" i="3"/>
  <c r="AY254" i="3"/>
  <c r="AY57" i="3"/>
  <c r="AY393" i="3"/>
  <c r="AY422" i="3"/>
  <c r="AY559" i="3"/>
  <c r="AY142" i="3"/>
  <c r="AY344" i="3"/>
  <c r="AY458" i="3"/>
  <c r="AY506" i="3"/>
  <c r="AY542" i="3"/>
  <c r="AY63" i="3"/>
  <c r="AY135" i="3"/>
  <c r="AY378" i="3"/>
  <c r="AY456" i="3"/>
  <c r="BL6" i="3"/>
  <c r="AY184" i="3"/>
  <c r="AY241" i="3"/>
  <c r="AY338" i="3"/>
  <c r="BD6" i="3"/>
  <c r="AY124" i="3"/>
  <c r="AY26" i="3"/>
  <c r="AY105" i="3"/>
  <c r="AY162" i="3"/>
  <c r="AY238" i="3"/>
  <c r="AY72" i="3"/>
  <c r="AY370" i="3"/>
  <c r="AY406" i="3"/>
  <c r="AY543" i="3"/>
  <c r="AY153" i="3"/>
  <c r="AY336" i="3"/>
  <c r="AY450" i="3"/>
  <c r="AY17" i="3"/>
  <c r="AY530" i="3"/>
  <c r="AY47" i="3"/>
  <c r="AY120" i="3"/>
  <c r="AY383" i="3"/>
  <c r="AY528" i="3"/>
  <c r="AY288" i="3"/>
  <c r="AY413" i="3"/>
  <c r="AY500" i="3"/>
  <c r="AY143" i="3"/>
  <c r="AY443" i="3"/>
  <c r="AY103" i="3"/>
  <c r="AY160" i="3"/>
  <c r="AY183" i="3"/>
  <c r="AY284" i="3"/>
  <c r="AY319" i="3"/>
  <c r="AY497" i="3"/>
  <c r="AY212" i="3"/>
  <c r="AY478" i="3"/>
  <c r="AY573" i="3"/>
  <c r="AY59" i="3"/>
  <c r="AY371" i="3"/>
  <c r="AY245" i="3"/>
  <c r="AY513" i="3"/>
  <c r="AY108" i="3"/>
  <c r="AY28" i="3"/>
  <c r="AY138" i="3"/>
  <c r="AY294" i="3"/>
  <c r="AY214" i="3"/>
  <c r="AY554" i="3"/>
  <c r="AY24" i="3"/>
  <c r="AY290" i="3"/>
  <c r="AY349" i="3"/>
  <c r="AY488" i="3"/>
  <c r="AY427" i="3"/>
  <c r="BF6" i="3"/>
  <c r="AY584" i="3"/>
  <c r="AY80" i="3"/>
  <c r="AY129" i="3"/>
  <c r="AY369" i="3"/>
  <c r="AY95" i="3"/>
  <c r="AY300" i="3"/>
  <c r="AY89" i="3"/>
  <c r="AY146" i="3"/>
  <c r="AY222" i="3"/>
  <c r="AY40" i="3"/>
  <c r="AY356" i="3"/>
  <c r="AY435" i="3"/>
  <c r="AY508" i="3"/>
  <c r="AY122" i="3"/>
  <c r="AY328" i="3"/>
  <c r="AY442" i="3"/>
  <c r="AY499" i="3"/>
  <c r="BR6" i="3"/>
  <c r="AY78" i="3"/>
  <c r="AY127" i="3"/>
  <c r="AY376" i="3"/>
  <c r="AY424" i="3"/>
  <c r="AY587" i="3"/>
  <c r="AY179" i="3"/>
  <c r="AY256" i="3"/>
  <c r="AY306" i="3"/>
  <c r="BC6" i="3"/>
  <c r="AY42" i="3"/>
  <c r="AY260" i="3"/>
  <c r="AY100" i="3"/>
  <c r="AY173" i="3"/>
  <c r="AY227" i="3"/>
  <c r="AY29" i="3"/>
  <c r="AY341" i="3"/>
  <c r="AY419" i="3"/>
  <c r="AY532" i="3"/>
  <c r="AY113" i="3"/>
  <c r="AY320" i="3"/>
  <c r="AY434" i="3"/>
  <c r="AY538" i="3"/>
  <c r="AY545" i="3"/>
  <c r="AY62" i="3"/>
  <c r="AY301" i="3"/>
  <c r="AY359" i="3"/>
  <c r="AY576" i="3"/>
  <c r="AY272" i="3"/>
  <c r="AY15" i="3"/>
  <c r="AY547" i="3"/>
  <c r="AY293" i="3"/>
  <c r="AY400" i="3"/>
  <c r="AY98" i="3"/>
  <c r="AY171" i="3"/>
  <c r="AY163" i="3"/>
  <c r="AY237" i="3"/>
  <c r="AY334" i="3"/>
  <c r="AY526" i="3"/>
  <c r="AY390" i="3"/>
  <c r="AY447" i="3"/>
  <c r="AY574" i="3"/>
  <c r="AY188" i="3"/>
  <c r="AY335" i="3"/>
  <c r="AY228" i="3"/>
  <c r="BK6" i="3"/>
  <c r="AY92" i="3"/>
  <c r="AY33" i="3"/>
  <c r="AY165" i="3"/>
  <c r="AY278" i="3"/>
  <c r="AY219" i="3"/>
  <c r="BH6" i="3"/>
  <c r="AY202" i="3"/>
  <c r="AY259" i="3"/>
  <c r="AY333" i="3"/>
  <c r="AY472" i="3"/>
  <c r="AY411" i="3"/>
  <c r="AY571" i="3"/>
  <c r="AY494" i="3"/>
  <c r="AY48" i="3"/>
  <c r="AY287" i="3"/>
  <c r="AY364" i="3"/>
  <c r="AY152" i="3"/>
  <c r="AY217" i="3"/>
  <c r="AY85" i="3"/>
  <c r="AY157" i="3"/>
  <c r="AY211" i="3"/>
  <c r="AY186" i="3"/>
  <c r="AY325" i="3"/>
  <c r="AY403" i="3"/>
  <c r="AY556" i="3"/>
  <c r="AY298" i="3"/>
  <c r="AY312" i="3"/>
  <c r="AY426" i="3"/>
  <c r="AY14" i="3"/>
  <c r="AY570" i="3"/>
  <c r="AY46" i="3"/>
  <c r="AY285" i="3"/>
  <c r="AY362" i="3"/>
  <c r="AY437" i="3"/>
  <c r="AY91" i="3"/>
  <c r="AY148" i="3"/>
  <c r="AY224" i="3"/>
  <c r="AY490" i="3"/>
  <c r="AY511" i="3"/>
  <c r="AY281" i="3"/>
  <c r="AY372" i="3"/>
  <c r="AY69" i="3"/>
  <c r="AY141" i="3"/>
  <c r="AY384" i="3"/>
  <c r="AY181" i="3"/>
  <c r="AY309" i="3"/>
  <c r="AY503" i="3"/>
  <c r="AY496" i="3"/>
  <c r="AY267" i="3"/>
  <c r="AY304" i="3"/>
  <c r="AY418" i="3"/>
  <c r="AY564" i="3"/>
  <c r="AY548" i="3"/>
  <c r="AY30" i="3"/>
  <c r="AY296" i="3"/>
  <c r="AY347" i="3"/>
  <c r="AY102" i="3"/>
  <c r="AY208" i="3"/>
  <c r="AY583" i="3"/>
  <c r="AY568" i="3"/>
  <c r="AY257" i="3"/>
  <c r="AY521" i="3"/>
  <c r="AY67" i="3"/>
  <c r="AY139" i="3"/>
  <c r="AY123" i="3"/>
  <c r="AY252" i="3"/>
  <c r="AY489" i="3"/>
  <c r="AY43" i="3"/>
  <c r="AY379" i="3"/>
  <c r="AY436" i="3"/>
  <c r="AY83" i="3"/>
  <c r="AY131" i="3"/>
  <c r="AY318" i="3"/>
  <c r="AY395" i="3"/>
  <c r="AY569" i="3"/>
  <c r="AY77" i="3"/>
  <c r="AY206" i="3"/>
  <c r="AY149" i="3"/>
  <c r="AY263" i="3"/>
  <c r="AY392" i="3"/>
  <c r="BJ6" i="3"/>
  <c r="AY197" i="3"/>
  <c r="AY274" i="3"/>
  <c r="AY317" i="3"/>
  <c r="AY457" i="3"/>
  <c r="AY581" i="3"/>
  <c r="AY546" i="3"/>
  <c r="AY514" i="3"/>
  <c r="AY37" i="3"/>
  <c r="AY282" i="3"/>
  <c r="AY345" i="3"/>
  <c r="AY111" i="3"/>
  <c r="AY327" i="3"/>
  <c r="AY53" i="3"/>
  <c r="AY126" i="3"/>
  <c r="AY389" i="3"/>
  <c r="AY150" i="3"/>
  <c r="AY340" i="3"/>
  <c r="AY525" i="3"/>
  <c r="AY577" i="3"/>
  <c r="AY235" i="3"/>
  <c r="AY487" i="3"/>
  <c r="AY410" i="3"/>
  <c r="D3" i="6"/>
  <c r="AY531" i="3"/>
  <c r="AY35" i="3"/>
  <c r="AY280" i="3"/>
  <c r="AY331" i="3"/>
  <c r="AY405" i="3"/>
  <c r="AY86" i="3"/>
  <c r="AY159" i="3"/>
  <c r="AY213" i="3"/>
  <c r="AY459" i="3"/>
  <c r="AY504" i="3"/>
  <c r="AY168" i="3"/>
  <c r="AY310" i="3"/>
  <c r="AY84" i="3"/>
  <c r="AY134" i="3"/>
  <c r="AY373" i="3"/>
  <c r="AY161" i="3"/>
  <c r="AY324" i="3"/>
  <c r="AY580" i="3"/>
  <c r="AY523" i="3"/>
  <c r="AY250" i="3"/>
  <c r="AY479" i="3"/>
  <c r="AY402" i="3"/>
  <c r="AY522" i="3"/>
  <c r="BP6" i="3"/>
  <c r="AY19" i="3"/>
  <c r="AY265" i="3"/>
  <c r="AY330" i="3"/>
  <c r="AY39" i="3"/>
  <c r="AY375" i="3"/>
  <c r="AY567" i="3"/>
  <c r="AY107" i="3"/>
  <c r="AY240" i="3"/>
  <c r="AY566" i="3"/>
  <c r="AY82" i="3"/>
  <c r="AY132" i="3"/>
  <c r="AY292" i="3"/>
  <c r="AY220" i="3"/>
  <c r="AY486" i="3"/>
  <c r="AY199" i="3"/>
  <c r="AY355" i="3"/>
  <c r="AY404" i="3"/>
  <c r="AY66" i="3"/>
  <c r="AY276" i="3"/>
  <c r="AY470" i="3"/>
  <c r="AY358" i="3"/>
  <c r="AY533" i="3"/>
  <c r="AY61" i="3"/>
  <c r="AY190" i="3"/>
  <c r="AY133" i="3"/>
  <c r="AY247" i="3"/>
  <c r="AY397" i="3"/>
  <c r="AY109" i="3"/>
  <c r="AY166" i="3"/>
  <c r="AY242" i="3"/>
  <c r="AY348" i="3"/>
  <c r="AY462" i="3"/>
  <c r="BQ6" i="3"/>
  <c r="AY495" i="3"/>
  <c r="AY582" i="3"/>
  <c r="AY194" i="3"/>
  <c r="AY251" i="3"/>
  <c r="AY329" i="3"/>
  <c r="AY253" i="3"/>
  <c r="AY463" i="3"/>
  <c r="AY68" i="3"/>
  <c r="AY117" i="3"/>
  <c r="AY365" i="3"/>
  <c r="AY130" i="3"/>
  <c r="AY308" i="3"/>
  <c r="AY516" i="3"/>
  <c r="AY112" i="3"/>
  <c r="AY218" i="3"/>
  <c r="AY471" i="3"/>
  <c r="AY439" i="3"/>
  <c r="AY524" i="3"/>
  <c r="AY578" i="3"/>
  <c r="AY192" i="3"/>
  <c r="AY249" i="3"/>
  <c r="AY346" i="3"/>
  <c r="AY558" i="3"/>
  <c r="AY55" i="3"/>
  <c r="AY128" i="3"/>
  <c r="AY391" i="3"/>
  <c r="AY448" i="3"/>
  <c r="AY586" i="3"/>
  <c r="AY236" i="3"/>
  <c r="AY420" i="3"/>
  <c r="AY52" i="3"/>
  <c r="AY291" i="3"/>
  <c r="AY368" i="3"/>
  <c r="AY121" i="3"/>
  <c r="AY483" i="3"/>
  <c r="AY572" i="3"/>
  <c r="AY81" i="3"/>
  <c r="AY396" i="3"/>
  <c r="AY492" i="3"/>
  <c r="AY431" i="3"/>
  <c r="AY575" i="3"/>
  <c r="AY563" i="3"/>
  <c r="AY203" i="3"/>
  <c r="AY233" i="3"/>
  <c r="AY482" i="3"/>
  <c r="AY22" i="3"/>
  <c r="AY339" i="3"/>
  <c r="AY315" i="3"/>
  <c r="AY71" i="3"/>
  <c r="AY386" i="3"/>
  <c r="BT6" i="3"/>
  <c r="D37" i="71"/>
  <c r="T37" i="71"/>
  <c r="E65" i="39"/>
  <c r="E30" i="6"/>
  <c r="E31" i="6" s="1"/>
  <c r="F31" i="6"/>
  <c r="C34" i="34"/>
  <c r="F34" i="34" s="1"/>
  <c r="N49" i="34"/>
  <c r="C48" i="15"/>
  <c r="C66" i="15" s="1"/>
  <c r="J26" i="15"/>
  <c r="J29" i="15" s="1"/>
  <c r="T29" i="71"/>
  <c r="D29" i="71"/>
  <c r="M14" i="1"/>
  <c r="C34" i="69"/>
  <c r="E8" i="71"/>
  <c r="E7" i="71" s="1"/>
  <c r="E6" i="71" s="1"/>
  <c r="E5" i="71" s="1"/>
  <c r="V9" i="71"/>
  <c r="D14" i="71"/>
  <c r="C13" i="71"/>
  <c r="K16" i="1"/>
  <c r="S6" i="1"/>
  <c r="K27" i="6"/>
  <c r="M19" i="6"/>
  <c r="J34" i="34"/>
  <c r="H34" i="34"/>
  <c r="M19" i="9"/>
  <c r="C118" i="9" s="1"/>
  <c r="C14" i="74" s="1"/>
  <c r="B2" i="74" s="1"/>
  <c r="N13" i="74" s="1"/>
  <c r="D25" i="6"/>
  <c r="D15" i="6"/>
  <c r="D22" i="6"/>
  <c r="D21" i="6"/>
  <c r="D24" i="6"/>
  <c r="D20" i="6"/>
  <c r="D5" i="6"/>
  <c r="D12" i="6"/>
  <c r="D11" i="6"/>
  <c r="D13" i="6"/>
  <c r="D28" i="6"/>
  <c r="D26" i="6"/>
  <c r="D8" i="6"/>
  <c r="D14" i="6"/>
  <c r="D10" i="6"/>
  <c r="E61" i="40"/>
  <c r="D19" i="6"/>
  <c r="C18" i="4"/>
  <c r="D23" i="6"/>
  <c r="D9" i="6"/>
  <c r="L19" i="9"/>
  <c r="D29" i="6"/>
  <c r="H20" i="6"/>
  <c r="H25" i="6"/>
  <c r="R25" i="6" s="1"/>
  <c r="H21" i="6"/>
  <c r="H23" i="6"/>
  <c r="H26" i="6"/>
  <c r="R26" i="6" s="1"/>
  <c r="H24" i="6"/>
  <c r="R24" i="6" s="1"/>
  <c r="H22"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38" i="67"/>
  <c r="C38" i="15"/>
  <c r="C66" i="67"/>
  <c r="B6" i="76"/>
  <c r="E6" i="76"/>
  <c r="C26" i="69" l="1"/>
  <c r="D22" i="69" s="1"/>
  <c r="C23" i="67"/>
  <c r="C29" i="67" s="1"/>
  <c r="C33" i="67" s="1"/>
  <c r="C31" i="67" s="1"/>
  <c r="C44" i="69"/>
  <c r="D41" i="69" s="1"/>
  <c r="F41" i="68"/>
  <c r="C23" i="15"/>
  <c r="C29" i="15" s="1"/>
  <c r="C36" i="15" s="1"/>
  <c r="C26" i="11"/>
  <c r="D22" i="11" s="1"/>
  <c r="C23" i="11"/>
  <c r="C22" i="11" s="1"/>
  <c r="C23" i="68"/>
  <c r="C22" i="68" s="1"/>
  <c r="C26" i="68"/>
  <c r="D22" i="68" s="1"/>
  <c r="C60" i="15"/>
  <c r="M18" i="9"/>
  <c r="B118" i="9" s="1"/>
  <c r="B14" i="74" s="1"/>
  <c r="B1" i="74" s="1"/>
  <c r="D3" i="21"/>
  <c r="D3" i="33"/>
  <c r="E6" i="6"/>
  <c r="D19" i="11"/>
  <c r="C19" i="11" s="1"/>
  <c r="C17" i="4"/>
  <c r="B4" i="52" s="1"/>
  <c r="B43" i="72" s="1"/>
  <c r="D14" i="12"/>
  <c r="L18" i="9"/>
  <c r="D37" i="11"/>
  <c r="C37" i="11" s="1"/>
  <c r="D3" i="37"/>
  <c r="R21" i="6"/>
  <c r="M27" i="6"/>
  <c r="I19" i="6"/>
  <c r="C38" i="69"/>
  <c r="C35" i="69"/>
  <c r="M16" i="1"/>
  <c r="O14" i="1"/>
  <c r="C12" i="71"/>
  <c r="T13" i="71"/>
  <c r="D13" i="71"/>
  <c r="U13" i="71" s="1"/>
  <c r="R20" i="6"/>
  <c r="S16" i="1"/>
  <c r="AQ6" i="1"/>
  <c r="T6" i="1"/>
  <c r="T16" i="1" s="1"/>
  <c r="AR6" i="1"/>
  <c r="D30" i="6"/>
  <c r="AB34" i="34"/>
  <c r="T49" i="34" s="1"/>
  <c r="G49" i="34" s="1"/>
  <c r="U34" i="34"/>
  <c r="AC34" i="34"/>
  <c r="V49" i="34" s="1"/>
  <c r="I49" i="34" s="1"/>
  <c r="W34" i="34"/>
  <c r="R22" i="6"/>
  <c r="AA34" i="34"/>
  <c r="R49" i="34" s="1"/>
  <c r="E49" i="34" s="1"/>
  <c r="E53" i="34" s="1"/>
  <c r="F53" i="34" s="1"/>
  <c r="S34" i="34"/>
  <c r="R23" i="6"/>
  <c r="C4" i="52"/>
  <c r="B45" i="72" s="1"/>
  <c r="D16" i="6"/>
  <c r="D27" i="6"/>
  <c r="D8" i="74"/>
  <c r="D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6" i="67"/>
  <c r="J19" i="67"/>
  <c r="J17" i="67" s="1"/>
  <c r="Q49" i="67" l="1"/>
  <c r="J14" i="67"/>
  <c r="J22" i="67" s="1"/>
  <c r="J59" i="67"/>
  <c r="J60" i="67" s="1"/>
  <c r="Q48" i="67" s="1"/>
  <c r="C57" i="67"/>
  <c r="C61" i="67" s="1"/>
  <c r="C13" i="67"/>
  <c r="C56" i="67" s="1"/>
  <c r="C65" i="67" s="1"/>
  <c r="C57" i="15"/>
  <c r="C61" i="15" s="1"/>
  <c r="C59" i="15" s="1"/>
  <c r="J14" i="15"/>
  <c r="J22" i="15" s="1"/>
  <c r="J59" i="15"/>
  <c r="J60" i="15" s="1"/>
  <c r="L46" i="15" s="1"/>
  <c r="Q49" i="15"/>
  <c r="J19" i="15"/>
  <c r="J17" i="15" s="1"/>
  <c r="C33" i="15"/>
  <c r="C31" i="15" s="1"/>
  <c r="C13" i="15"/>
  <c r="C75" i="15" s="1"/>
  <c r="C24" i="11"/>
  <c r="C20" i="11"/>
  <c r="D31" i="6"/>
  <c r="D6" i="6"/>
  <c r="D10" i="68"/>
  <c r="D10" i="11"/>
  <c r="C10" i="11" s="1"/>
  <c r="D10" i="69"/>
  <c r="D20" i="12"/>
  <c r="C20" i="12" s="1"/>
  <c r="C18" i="12" s="1"/>
  <c r="A7" i="51"/>
  <c r="B7" i="72" s="1"/>
  <c r="A10" i="51"/>
  <c r="B9" i="72" s="1"/>
  <c r="N14" i="74"/>
  <c r="C7" i="74"/>
  <c r="C8" i="74"/>
  <c r="B2" i="33"/>
  <c r="B3" i="33" s="1"/>
  <c r="D17" i="12"/>
  <c r="C17" i="12" s="1"/>
  <c r="C14" i="12"/>
  <c r="M13" i="74"/>
  <c r="M15" i="74" s="1"/>
  <c r="P14" i="1"/>
  <c r="P16" i="1" s="1"/>
  <c r="C11" i="12" s="1"/>
  <c r="O16" i="1"/>
  <c r="C34" i="68"/>
  <c r="L16" i="1"/>
  <c r="N16" i="1"/>
  <c r="C34" i="11"/>
  <c r="S19" i="6"/>
  <c r="S27" i="6" s="1"/>
  <c r="I27" i="6"/>
  <c r="H19" i="6"/>
  <c r="C11" i="71"/>
  <c r="D12" i="71"/>
  <c r="R50" i="34"/>
  <c r="C50" i="34" s="1"/>
  <c r="E51" i="34" s="1"/>
  <c r="I53" i="34"/>
  <c r="J53" i="34" s="1"/>
  <c r="I54" i="34"/>
  <c r="J54" i="34" s="1"/>
  <c r="G53" i="34"/>
  <c r="H53" i="34" s="1"/>
  <c r="G54" i="34"/>
  <c r="H54" i="34" s="1"/>
  <c r="E54" i="34"/>
  <c r="F54" i="34" s="1"/>
  <c r="I6" i="6"/>
  <c r="I7" i="6" s="1"/>
  <c r="I5" i="6"/>
  <c r="I69" i="39"/>
  <c r="J67" i="39"/>
  <c r="B3" i="76"/>
  <c r="I63" i="40"/>
  <c r="H65" i="40"/>
  <c r="I58" i="21"/>
  <c r="J58" i="21" s="1"/>
  <c r="K58" i="21" s="1"/>
  <c r="L58" i="21" s="1"/>
  <c r="M58" i="21" s="1"/>
  <c r="N58" i="21" s="1"/>
  <c r="O58" i="21" s="1"/>
  <c r="H7" i="21" s="1"/>
  <c r="J48" i="35"/>
  <c r="J13" i="67"/>
  <c r="J23" i="67" s="1"/>
  <c r="C59" i="67"/>
  <c r="L46" i="67"/>
  <c r="C75" i="67"/>
  <c r="C37" i="67"/>
  <c r="C30" i="67" s="1"/>
  <c r="C39" i="67" s="1"/>
  <c r="J13" i="15"/>
  <c r="J23" i="15" s="1"/>
  <c r="L51" i="67"/>
  <c r="Q70" i="67" l="1"/>
  <c r="C64" i="15"/>
  <c r="C64" i="67"/>
  <c r="C58" i="67" s="1"/>
  <c r="C67" i="67" s="1"/>
  <c r="C68" i="67" s="1"/>
  <c r="Q48" i="15"/>
  <c r="Q70" i="15"/>
  <c r="C56" i="15"/>
  <c r="C65" i="15" s="1"/>
  <c r="C58" i="15" s="1"/>
  <c r="C67" i="15" s="1"/>
  <c r="C68" i="15" s="1"/>
  <c r="C71" i="15" s="1"/>
  <c r="C37" i="15"/>
  <c r="C30" i="15" s="1"/>
  <c r="C39" i="15" s="1"/>
  <c r="C80" i="15" s="1"/>
  <c r="C79" i="15" s="1"/>
  <c r="C10" i="69"/>
  <c r="C8" i="69" s="1"/>
  <c r="C5" i="69" s="1"/>
  <c r="C23" i="69" s="1"/>
  <c r="C22" i="69" s="1"/>
  <c r="D19" i="69"/>
  <c r="D19" i="68"/>
  <c r="C10" i="68"/>
  <c r="F7" i="21"/>
  <c r="S7" i="21" s="1"/>
  <c r="C28" i="11"/>
  <c r="C27" i="11" s="1"/>
  <c r="C31" i="11" s="1"/>
  <c r="C25" i="11"/>
  <c r="J7" i="21"/>
  <c r="AC7" i="21" s="1"/>
  <c r="V48" i="21" s="1"/>
  <c r="I48" i="21" s="1"/>
  <c r="D14" i="74"/>
  <c r="C10" i="74" s="1"/>
  <c r="F10" i="74" s="1"/>
  <c r="B10" i="74" s="1"/>
  <c r="C51" i="34"/>
  <c r="C52" i="34"/>
  <c r="C38" i="11"/>
  <c r="C35" i="11"/>
  <c r="C33" i="11" s="1"/>
  <c r="F50" i="11"/>
  <c r="F50" i="69"/>
  <c r="F50" i="68"/>
  <c r="C35" i="68"/>
  <c r="C38" i="68"/>
  <c r="D11" i="71"/>
  <c r="C10" i="71"/>
  <c r="R19" i="6"/>
  <c r="H27" i="6"/>
  <c r="C15" i="12"/>
  <c r="C12" i="12"/>
  <c r="C49" i="34"/>
  <c r="B2" i="34"/>
  <c r="J69" i="39"/>
  <c r="K67" i="39"/>
  <c r="U7" i="21"/>
  <c r="AB7" i="21"/>
  <c r="T48" i="21" s="1"/>
  <c r="G48" i="21" s="1"/>
  <c r="J63" i="40"/>
  <c r="I65" i="40"/>
  <c r="K48" i="35"/>
  <c r="L48" i="35" s="1"/>
  <c r="M48" i="35" s="1"/>
  <c r="N48" i="35" s="1"/>
  <c r="O48" i="35" s="1"/>
  <c r="H7" i="35" s="1"/>
  <c r="J16" i="15"/>
  <c r="J25" i="15" s="1"/>
  <c r="J16" i="67"/>
  <c r="J25" i="67" s="1"/>
  <c r="C80" i="67"/>
  <c r="C79" i="67" s="1"/>
  <c r="Q69" i="67"/>
  <c r="C40" i="67"/>
  <c r="C19" i="9"/>
  <c r="L51" i="15"/>
  <c r="Q68" i="67" l="1"/>
  <c r="C40" i="15"/>
  <c r="Q47" i="15" s="1"/>
  <c r="Q53" i="15" s="1"/>
  <c r="Q69" i="15"/>
  <c r="Q68" i="15" s="1"/>
  <c r="AA7" i="21"/>
  <c r="R48" i="21" s="1"/>
  <c r="D37" i="68"/>
  <c r="C37" i="68" s="1"/>
  <c r="C33" i="68" s="1"/>
  <c r="C42" i="68" s="1"/>
  <c r="C41" i="68" s="1"/>
  <c r="C19" i="68"/>
  <c r="W7" i="21"/>
  <c r="C19" i="69"/>
  <c r="D37" i="69"/>
  <c r="C37" i="69" s="1"/>
  <c r="C33" i="69" s="1"/>
  <c r="C16" i="12"/>
  <c r="C21" i="12" s="1"/>
  <c r="C22" i="12" s="1"/>
  <c r="C27" i="12" s="1"/>
  <c r="C25" i="12" s="1"/>
  <c r="C42" i="11"/>
  <c r="C41" i="11" s="1"/>
  <c r="C39" i="11"/>
  <c r="C43" i="11" s="1"/>
  <c r="R27" i="6"/>
  <c r="R6" i="1"/>
  <c r="R16" i="1" s="1"/>
  <c r="C9" i="71"/>
  <c r="D10" i="71"/>
  <c r="C102" i="9"/>
  <c r="C21" i="9"/>
  <c r="B3" i="34"/>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C43" i="67"/>
  <c r="D2" i="67"/>
  <c r="Q47" i="67"/>
  <c r="Q53" i="67" s="1"/>
  <c r="Q56" i="67"/>
  <c r="Q65" i="67"/>
  <c r="C83" i="67"/>
  <c r="C82" i="67" s="1"/>
  <c r="C20" i="9"/>
  <c r="C43" i="15" l="1"/>
  <c r="Q56" i="15"/>
  <c r="B2" i="15"/>
  <c r="B3" i="15" s="1"/>
  <c r="Q65" i="15"/>
  <c r="C83" i="15"/>
  <c r="C82" i="15" s="1"/>
  <c r="C46" i="15"/>
  <c r="C24" i="68"/>
  <c r="C20" i="68"/>
  <c r="C39" i="69"/>
  <c r="C43" i="69" s="1"/>
  <c r="C42" i="69"/>
  <c r="C41" i="69" s="1"/>
  <c r="C24" i="69"/>
  <c r="C20" i="69"/>
  <c r="C25" i="69" s="1"/>
  <c r="C30" i="12"/>
  <c r="C28" i="12" s="1"/>
  <c r="C32" i="12" s="1"/>
  <c r="B2" i="12" s="1"/>
  <c r="B3" i="12" s="1"/>
  <c r="C39" i="68"/>
  <c r="C8" i="71"/>
  <c r="T9" i="71"/>
  <c r="D9" i="71"/>
  <c r="U9" i="71" s="1"/>
  <c r="C46" i="11"/>
  <c r="C45" i="11" s="1"/>
  <c r="C49" i="11" s="1"/>
  <c r="C51" i="11" s="1"/>
  <c r="C52" i="11" s="1"/>
  <c r="B2" i="11" s="1"/>
  <c r="B3" i="11" s="1"/>
  <c r="C103" i="9"/>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Q62" i="15" l="1"/>
  <c r="Q75" i="15"/>
  <c r="C28" i="68"/>
  <c r="C27" i="68" s="1"/>
  <c r="C31" i="68" s="1"/>
  <c r="C25" i="68"/>
  <c r="C46" i="69"/>
  <c r="C45" i="69" s="1"/>
  <c r="C49" i="69" s="1"/>
  <c r="C51" i="69" s="1"/>
  <c r="C28" i="69"/>
  <c r="C27" i="69" s="1"/>
  <c r="C31" i="69" s="1"/>
  <c r="C43" i="68"/>
  <c r="C46" i="68"/>
  <c r="C45" i="68" s="1"/>
  <c r="C49" i="68" s="1"/>
  <c r="C51" i="68" s="1"/>
  <c r="C56" i="11"/>
  <c r="C57" i="11" s="1"/>
  <c r="D8" i="71"/>
  <c r="C7" i="71"/>
  <c r="M69" i="39"/>
  <c r="N67" i="39"/>
  <c r="R39" i="35"/>
  <c r="E38" i="35"/>
  <c r="M63" i="40"/>
  <c r="L65" i="40"/>
  <c r="C52" i="69" l="1"/>
  <c r="B2" i="69" s="1"/>
  <c r="B3" i="69" s="1"/>
  <c r="C52" i="68"/>
  <c r="B2" i="68" s="1"/>
  <c r="B3" i="68" s="1"/>
  <c r="D7" i="71"/>
  <c r="C6" i="71"/>
  <c r="O67" i="39"/>
  <c r="O69" i="39" s="1"/>
  <c r="N69" i="39"/>
  <c r="F7" i="39"/>
  <c r="C39" i="35"/>
  <c r="B2" i="35" s="1"/>
  <c r="B3" i="35" s="1"/>
  <c r="C38" i="35"/>
  <c r="N63" i="40"/>
  <c r="M65" i="40"/>
  <c r="E43" i="35"/>
  <c r="F43" i="35" s="1"/>
  <c r="E42" i="35"/>
  <c r="F42" i="35" s="1"/>
  <c r="I43" i="35"/>
  <c r="J43" i="35" s="1"/>
  <c r="D20" i="9"/>
  <c r="D19" i="9"/>
  <c r="C57" i="68" l="1"/>
  <c r="C56" i="68" s="1"/>
  <c r="C57" i="69"/>
  <c r="C56" i="69" s="1"/>
  <c r="G19" i="9"/>
  <c r="G21" i="9" s="1"/>
  <c r="D21" i="9"/>
  <c r="D102" i="9"/>
  <c r="D22" i="9"/>
  <c r="G20" i="9"/>
  <c r="C32" i="9" s="1"/>
  <c r="C35" i="9" s="1"/>
  <c r="C34" i="9" s="1"/>
  <c r="D103" i="9"/>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c r="C5" i="74" s="1"/>
  <c r="B6" i="74"/>
  <c r="C6" i="74" s="1"/>
  <c r="D5" i="74" l="1"/>
  <c r="D6" i="74"/>
  <c r="D53" i="9"/>
  <c r="D52" i="9"/>
  <c r="H4" i="52"/>
  <c r="C104" i="9"/>
  <c r="I4" i="52"/>
  <c r="C105" i="9"/>
  <c r="N61" i="9"/>
  <c r="N60" i="9"/>
  <c r="N59" i="9"/>
  <c r="N58" i="9"/>
  <c r="P57" i="9"/>
  <c r="B20" i="72"/>
  <c r="C81" i="9"/>
  <c r="B52" i="72"/>
  <c r="B30" i="72"/>
  <c r="B21" i="72"/>
  <c r="G4" i="52"/>
  <c r="B31" i="72"/>
  <c r="B47" i="72"/>
  <c r="D8" i="52"/>
  <c r="M48" i="9"/>
  <c r="D5" i="53"/>
  <c r="D6" i="53"/>
  <c r="B22" i="72"/>
  <c r="B51" i="72"/>
  <c r="D4" i="52"/>
  <c r="D13" i="53"/>
  <c r="D14" i="53"/>
  <c r="B32" i="72"/>
  <c r="H108" i="9"/>
  <c r="D15" i="53"/>
  <c r="H102" i="9"/>
  <c r="D7" i="53"/>
  <c r="H119" i="9"/>
  <c r="H5" i="52"/>
  <c r="M54" i="9"/>
  <c r="F5" i="52"/>
  <c r="B53" i="72"/>
  <c r="C96" i="9"/>
  <c r="E96" i="9"/>
  <c r="E97" i="9"/>
  <c r="D56" i="9"/>
  <c r="B49" i="72"/>
  <c r="C93" i="9"/>
  <c r="C86" i="9"/>
  <c r="F119" i="9"/>
  <c r="G118" i="9"/>
  <c r="F118" i="9"/>
  <c r="F4" i="52"/>
  <c r="C68" i="9"/>
  <c r="D54" i="9"/>
  <c r="D118" i="9"/>
  <c r="D119" i="9"/>
  <c r="D5" i="52"/>
  <c r="C67" i="9"/>
  <c r="D59" i="9"/>
  <c r="M55" i="9"/>
  <c r="C64" i="9"/>
  <c r="C63" i="9"/>
  <c r="C78" i="9"/>
  <c r="C73" i="9"/>
  <c r="H107" i="9"/>
  <c r="D122" i="9"/>
  <c r="D123" i="9"/>
  <c r="D9" i="52"/>
  <c r="C72" i="9"/>
  <c r="C79" i="9"/>
  <c r="C80" i="9"/>
  <c r="E80" i="9"/>
  <c r="E81" i="9"/>
  <c r="E118" i="9"/>
  <c r="E4" i="52"/>
  <c r="B48" i="72"/>
  <c r="C97" i="9"/>
  <c r="D58" i="9"/>
  <c r="C85" i="9"/>
  <c r="C9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<sst xmlns="http://schemas.openxmlformats.org/spreadsheetml/2006/main" count="7607" uniqueCount="3289">
  <si>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</si>
  <si>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</si>
  <si>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</si>
  <si>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</si>
  <si>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</si>
  <si>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</si>
  <si>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</si>
  <si>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</si>
  <si>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</si>
  <si>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</si>
  <si>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</si>
  <si>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</si>
  <si>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</si>
  <si>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</si>
  <si>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</si>
  <si>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</si>
  <si>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</si>
  <si>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</si>
  <si>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</si>
  <si>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</si>
  <si>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</si>
  <si>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</si>
  <si>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</si>
  <si>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</si>
  <si>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</si>
  <si>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</si>
  <si>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</si>
  <si>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</si>
  <si>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</si>
  <si>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</si>
  <si>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</si>
  <si>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</si>
  <si>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</si>
  <si>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</si>
  <si>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</si>
  <si>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</si>
  <si>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</si>
  <si>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</si>
  <si>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</si>
  <si>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</si>
  <si>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</si>
  <si>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</si>
  <si>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</si>
  <si>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</si>
  <si>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</si>
  <si>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</si>
  <si>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</si>
  <si>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</si>
  <si>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</si>
  <si>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</si>
  <si>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</si>
  <si>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</si>
  <si>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</si>
  <si>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</si>
  <si>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</si>
  <si>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</si>
  <si>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</si>
  <si>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</si>
  <si>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</si>
  <si>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</si>
  <si>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</si>
  <si>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</si>
  <si>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</si>
  <si>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</si>
  <si>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</si>
  <si>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</si>
  <si>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</si>
  <si>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</si>
  <si>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</si>
  <si>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</si>
  <si>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</si>
  <si>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</si>
  <si>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</si>
  <si>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</si>
  <si>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</si>
  <si>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</si>
  <si>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</si>
  <si>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</si>
  <si>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</si>
  <si>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</si>
  <si>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</si>
  <si>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</si>
  <si>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</si>
  <si>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</si>
  <si>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</si>
  <si>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</si>
  <si>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</si>
  <si>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</si>
  <si>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</si>
  <si>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</si>
  <si>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</si>
  <si>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</si>
  <si>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</si>
  <si>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</si>
  <si>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</si>
  <si>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</si>
  <si>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</si>
  <si>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</si>
  <si>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</si>
  <si>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</si>
  <si>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</si>
  <si>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</si>
  <si>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</si>
  <si>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</si>
  <si>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</si>
  <si>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</si>
  <si>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</si>
  <si>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</si>
  <si>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</si>
  <si>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</si>
  <si>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</si>
  <si>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</si>
  <si>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</si>
  <si>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</si>
  <si>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</si>
  <si>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</si>
  <si>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</si>
  <si>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</si>
  <si>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</si>
  <si>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</si>
  <si>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</si>
  <si>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</si>
  <si>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</si>
  <si>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</si>
  <si>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</si>
  <si>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</si>
  <si>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</si>
  <si>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</si>
  <si>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</si>
  <si>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</si>
  <si>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</si>
  <si>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</si>
  <si>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</si>
  <si>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</si>
  <si>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</si>
  <si>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</si>
  <si>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</si>
  <si>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</si>
  <si>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</si>
  <si>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</si>
  <si>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</si>
  <si>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</si>
  <si>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</si>
  <si>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</si>
  <si>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</si>
  <si>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</si>
  <si>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</si>
  <si>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</si>
  <si>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</si>
  <si>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</si>
  <si>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</si>
  <si>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</si>
  <si>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</si>
  <si>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</si>
  <si>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</si>
  <si>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</si>
  <si>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</si>
  <si>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</si>
  <si>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</si>
  <si>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</si>
  <si>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</si>
  <si>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</si>
  <si>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</si>
  <si>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</si>
  <si>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</si>
  <si>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</si>
  <si>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</si>
  <si>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</si>
  <si>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</si>
  <si>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</si>
  <si>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</si>
  <si>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</si>
  <si>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</si>
  <si>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</si>
  <si>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</si>
  <si>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</si>
  <si>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</si>
  <si>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</si>
  <si>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</si>
  <si>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</si>
  <si>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</si>
  <si>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</si>
  <si>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</si>
  <si>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</si>
  <si>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</si>
  <si>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</si>
  <si>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</si>
  <si>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</si>
  <si>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</si>
  <si>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</si>
  <si>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</si>
  <si>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</si>
  <si>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</si>
  <si>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</si>
  <si>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</si>
  <si>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</si>
  <si>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</si>
  <si>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</si>
  <si>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</si>
  <si>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</si>
  <si>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</si>
  <si>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</si>
  <si>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</si>
  <si>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</si>
  <si>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</si>
  <si>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</si>
  <si>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</si>
  <si>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</si>
  <si>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</si>
  <si>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</si>
  <si>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</si>
  <si>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</si>
  <si>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</si>
  <si>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</si>
  <si>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</si>
  <si>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</si>
  <si>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</si>
  <si>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</si>
  <si>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</si>
  <si>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</si>
  <si>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</si>
  <si>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</si>
  <si>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</si>
  <si>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</si>
  <si>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</si>
  <si>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</si>
  <si>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</si>
  <si>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</si>
  <si>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</si>
  <si>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</si>
  <si>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</si>
  <si>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</si>
  <si>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</si>
  <si>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</si>
  <si>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</si>
  <si>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</si>
  <si>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</si>
  <si>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</si>
  <si>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</si>
  <si>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</si>
  <si>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</si>
  <si>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</si>
  <si>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</si>
  <si>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</si>
  <si>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</si>
  <si>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</si>
  <si>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</si>
  <si>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</si>
  <si>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</si>
  <si>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</si>
  <si>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</si>
  <si>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</si>
  <si>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</si>
  <si>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</si>
  <si>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</si>
  <si>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</si>
  <si>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</si>
  <si>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</si>
  <si>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</si>
  <si>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</si>
  <si>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</si>
  <si>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</si>
  <si>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</si>
  <si>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</si>
  <si>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</si>
  <si>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</si>
  <si>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</si>
  <si>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</si>
  <si>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</si>
  <si>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</si>
  <si>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</si>
  <si>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</si>
  <si>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</si>
  <si>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</si>
  <si>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</si>
  <si>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</si>
  <si>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</si>
  <si>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</si>
  <si>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</si>
  <si>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</si>
  <si>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</si>
  <si>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</si>
  <si>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</si>
  <si>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</si>
  <si>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</si>
  <si>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</si>
  <si>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</si>
  <si>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</si>
  <si>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</si>
  <si>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</si>
  <si>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</si>
  <si>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</si>
  <si>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</si>
  <si>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</si>
  <si>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</si>
  <si>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</si>
  <si>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</si>
  <si>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</si>
  <si>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</si>
  <si>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</si>
  <si>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</si>
  <si>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</si>
  <si>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</si>
  <si>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</si>
  <si>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</si>
  <si>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</si>
  <si>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</si>
  <si>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</si>
  <si>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</si>
  <si>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</si>
  <si>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</si>
  <si>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</si>
  <si>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</si>
  <si>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</si>
  <si>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</si>
  <si>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</si>
  <si>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</si>
  <si>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</si>
  <si>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</si>
  <si>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</si>
  <si>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</si>
  <si>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</si>
  <si>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</si>
  <si>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</si>
  <si>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</si>
  <si>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</si>
  <si>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</si>
  <si>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</si>
  <si>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</si>
  <si>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</si>
  <si>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</si>
  <si>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</si>
  <si>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</si>
  <si>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</si>
  <si>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</si>
  <si>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</si>
  <si>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</si>
  <si>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</si>
  <si>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</si>
  <si>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</si>
  <si>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</si>
  <si>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</si>
  <si>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</si>
  <si>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</si>
  <si>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</si>
  <si>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</si>
  <si>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</si>
  <si>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</si>
  <si>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</si>
  <si>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</si>
  <si>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</si>
  <si>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</si>
  <si>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</si>
  <si>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</si>
  <si>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</si>
  <si>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</si>
  <si>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</si>
  <si>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</si>
  <si>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</si>
  <si>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</si>
  <si>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</si>
  <si>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</si>
  <si>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</si>
  <si>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</si>
  <si>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</si>
  <si>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</si>
  <si>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</si>
  <si>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</si>
  <si>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</si>
  <si>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</si>
  <si>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</si>
  <si>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</si>
  <si>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</si>
  <si>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</si>
  <si>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</si>
  <si>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</si>
  <si>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</si>
  <si>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</si>
  <si>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</si>
  <si>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</si>
  <si>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</si>
  <si>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</si>
  <si>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</si>
  <si>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</si>
  <si>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</si>
  <si>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</si>
  <si>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</si>
  <si>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</si>
  <si>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</si>
  <si>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</si>
  <si>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</si>
  <si>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</si>
  <si>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</si>
  <si>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</si>
  <si>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</si>
  <si>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</si>
  <si>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</si>
  <si>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</si>
  <si>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</si>
  <si>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</si>
  <si>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</si>
  <si>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</si>
  <si>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</si>
  <si>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</si>
  <si>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</si>
  <si>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</si>
  <si>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</si>
  <si>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</si>
  <si>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</si>
  <si>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</si>
  <si>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</si>
  <si>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</si>
  <si>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</si>
  <si>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</si>
  <si>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</si>
  <si>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</si>
  <si>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</si>
  <si>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</si>
  <si>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</si>
  <si>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</si>
  <si>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</si>
  <si>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</si>
  <si>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</si>
  <si>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</si>
  <si>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</si>
  <si>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</si>
  <si>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</si>
  <si>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</si>
  <si>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</si>
  <si>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</si>
  <si>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</si>
  <si>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</si>
  <si>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</si>
  <si>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</si>
  <si>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</si>
  <si>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</si>
  <si>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</si>
  <si>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</si>
  <si>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</si>
  <si>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</si>
  <si>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</si>
  <si>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</si>
  <si>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</si>
  <si>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</si>
  <si>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</si>
  <si>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</si>
  <si>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</si>
  <si>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</si>
  <si>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</si>
  <si>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</si>
  <si>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</si>
  <si>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</si>
  <si>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</si>
  <si>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</si>
  <si>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</si>
  <si>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</si>
  <si>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</si>
  <si>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</si>
  <si>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</si>
  <si>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</si>
  <si>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</si>
  <si>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</si>
  <si>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</si>
  <si>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</si>
  <si>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</si>
  <si>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</si>
  <si>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</si>
  <si>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</si>
  <si>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</si>
  <si>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</si>
  <si>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</si>
  <si>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</si>
  <si>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</si>
  <si>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</si>
  <si>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</si>
  <si>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</si>
  <si>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</si>
  <si>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</si>
  <si>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</si>
  <si>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</si>
  <si>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</si>
  <si>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</si>
  <si>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</si>
  <si>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</si>
  <si>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</si>
  <si>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</si>
  <si>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</si>
  <si>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</si>
  <si>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</si>
  <si>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</si>
  <si>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</si>
  <si>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</si>
  <si>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</si>
  <si>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</si>
  <si>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</si>
  <si>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</si>
  <si>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</si>
  <si>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</si>
  <si>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</si>
  <si>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</si>
  <si>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</si>
  <si>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</si>
  <si>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</si>
  <si>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</si>
  <si>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</si>
  <si>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</si>
  <si>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</si>
  <si>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</si>
  <si>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</si>
  <si>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</si>
  <si>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</si>
  <si>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</si>
  <si>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</si>
  <si>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</si>
  <si>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</si>
  <si>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</si>
  <si>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</si>
  <si>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</si>
  <si>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</si>
  <si>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</si>
  <si>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</si>
  <si>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</si>
  <si>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</si>
  <si>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</si>
  <si>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</si>
  <si>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</si>
  <si>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</si>
  <si>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</si>
  <si>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</si>
  <si>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</si>
  <si>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</si>
  <si>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</si>
  <si>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</si>
  <si>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</si>
  <si>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</si>
  <si>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</si>
  <si>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</si>
  <si>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</si>
  <si>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</si>
  <si>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</si>
  <si>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</si>
  <si>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</si>
  <si>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</si>
  <si>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</si>
  <si>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</si>
  <si>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</si>
  <si>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</si>
  <si>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</si>
  <si>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</si>
  <si>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</si>
  <si>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</si>
  <si>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</si>
  <si>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</si>
  <si>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</si>
  <si>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</si>
  <si>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</si>
  <si>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</si>
  <si>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</si>
  <si>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</si>
  <si>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</si>
  <si>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</si>
  <si>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</si>
  <si>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</si>
  <si>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</si>
  <si>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</si>
  <si>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</si>
  <si>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</si>
  <si>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</si>
  <si>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</si>
  <si>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</si>
  <si>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</si>
  <si>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</si>
  <si>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</si>
  <si>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</si>
  <si>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</si>
  <si>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</si>
  <si>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</si>
  <si>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</si>
  <si>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</si>
  <si>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</si>
  <si>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</si>
  <si>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</si>
  <si>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</si>
  <si>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</si>
  <si>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</si>
  <si>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</si>
  <si>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</si>
  <si>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</si>
  <si>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</si>
  <si>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</si>
  <si>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</si>
  <si>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</si>
  <si>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</si>
  <si>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</si>
  <si>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</si>
  <si>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</si>
  <si>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</si>
  <si>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</si>
  <si>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</si>
  <si>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</si>
  <si>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</si>
  <si>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</si>
  <si>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</si>
  <si>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</si>
  <si>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</si>
  <si>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</si>
  <si>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</si>
  <si>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</si>
  <si>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</si>
  <si>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</si>
  <si>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</si>
  <si>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</si>
  <si>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</si>
  <si>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</si>
  <si>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</si>
  <si>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</si>
  <si>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</si>
  <si>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</si>
  <si>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</si>
  <si>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</si>
  <si>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</si>
  <si>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</si>
  <si>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</si>
  <si>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</si>
  <si>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</si>
  <si>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</si>
  <si>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</si>
  <si>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</si>
  <si>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</si>
  <si>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</si>
  <si>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</si>
  <si>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</si>
  <si>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</si>
  <si>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</si>
  <si>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</si>
  <si>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</si>
  <si>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</si>
  <si>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</si>
  <si>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</si>
  <si>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</si>
  <si>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</si>
  <si>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</si>
  <si>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</si>
  <si>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</si>
  <si>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</si>
  <si>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</si>
  <si>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</si>
  <si>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</si>
  <si>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</si>
  <si>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</si>
  <si>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</si>
  <si>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</si>
  <si>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</si>
  <si>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</si>
  <si>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</si>
  <si>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</si>
  <si>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</si>
  <si>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</si>
  <si>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</si>
  <si>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</si>
  <si>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</si>
  <si>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</si>
  <si>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</si>
  <si>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</si>
  <si>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</si>
  <si>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</si>
  <si>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</si>
  <si>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</si>
  <si>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</si>
  <si>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</si>
  <si>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</si>
  <si>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</si>
  <si>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</si>
  <si>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</si>
  <si>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</si>
  <si>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</si>
  <si>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</si>
  <si>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</si>
  <si>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</si>
  <si>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</si>
  <si>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</si>
  <si>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</si>
  <si>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</si>
  <si>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</si>
  <si>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</si>
  <si>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</si>
  <si>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</si>
  <si>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</si>
  <si>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</si>
  <si>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</si>
  <si>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</si>
  <si>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</si>
  <si>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</si>
  <si>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</si>
  <si>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</si>
  <si>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</si>
  <si>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</si>
  <si>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</si>
  <si>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</si>
  <si>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</si>
  <si>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</si>
  <si>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</si>
  <si>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</si>
  <si>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</si>
  <si>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</si>
  <si>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</si>
  <si>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</si>
  <si>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</si>
  <si>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</si>
  <si>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</si>
  <si>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</si>
  <si>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</si>
  <si>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</si>
  <si>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</si>
  <si>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</si>
  <si>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</si>
  <si>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</si>
  <si>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</si>
  <si>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</si>
  <si>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</si>
  <si>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</si>
  <si>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</si>
  <si>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</si>
  <si>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</si>
  <si>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</si>
  <si>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</si>
  <si>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</si>
  <si>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</si>
  <si>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</si>
  <si>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</si>
  <si>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</si>
  <si>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</si>
  <si>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</si>
  <si>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</si>
  <si>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</si>
  <si>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</si>
  <si>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</si>
  <si>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</si>
  <si>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</si>
  <si>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</si>
  <si>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</si>
  <si>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</si>
  <si>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</si>
  <si>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</si>
  <si>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</si>
  <si>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</si>
  <si>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</si>
  <si>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</si>
  <si>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</si>
  <si>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</si>
  <si>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</si>
  <si>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</si>
  <si>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</si>
  <si>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</si>
  <si>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</si>
  <si>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</si>
  <si>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</si>
  <si>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</si>
  <si>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</si>
  <si>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</si>
  <si>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</si>
  <si>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</si>
  <si>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</si>
  <si>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</si>
  <si>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</si>
  <si>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</si>
  <si>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</si>
  <si>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</si>
  <si>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</si>
  <si>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</si>
  <si>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</si>
  <si>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</si>
  <si>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</si>
  <si>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</si>
  <si>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</si>
  <si>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</si>
  <si>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</si>
  <si>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</si>
  <si>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</si>
  <si>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</si>
  <si>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</si>
  <si>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</si>
  <si>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</si>
  <si>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</si>
  <si>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</si>
  <si>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</si>
  <si>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</si>
  <si>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</si>
  <si>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</si>
  <si>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</si>
  <si>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</si>
  <si>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</si>
  <si>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</si>
  <si>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</si>
  <si>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</si>
  <si>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</si>
  <si>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</si>
  <si>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</si>
  <si>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</si>
  <si>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</si>
  <si>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</si>
  <si>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</si>
  <si>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</si>
  <si>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</si>
  <si>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</si>
  <si>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</si>
  <si>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</si>
  <si>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</si>
  <si>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</si>
  <si>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</si>
  <si>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</si>
  <si>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</si>
  <si>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</si>
  <si>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</si>
  <si>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</si>
  <si>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</si>
  <si>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</si>
  <si>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</si>
  <si>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</si>
  <si>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</si>
  <si>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</si>
  <si>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</si>
  <si>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</si>
  <si>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</si>
  <si>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</si>
  <si>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</si>
  <si>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</si>
  <si>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</si>
  <si>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</si>
  <si>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</si>
  <si>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</si>
  <si>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</si>
  <si>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</si>
  <si>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</si>
  <si>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</si>
  <si>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</si>
  <si>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</si>
  <si>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</si>
  <si>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</si>
  <si>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</si>
  <si>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</si>
  <si>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</si>
  <si>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</si>
  <si>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</si>
  <si>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</si>
  <si>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</si>
  <si>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</si>
  <si>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</si>
  <si>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</si>
  <si>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</si>
  <si>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</si>
  <si>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</si>
  <si>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</si>
  <si>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</si>
  <si>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</si>
  <si>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</si>
  <si>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</si>
  <si>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</si>
  <si>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</si>
  <si>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</si>
  <si>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</si>
  <si>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</si>
  <si>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</si>
  <si>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</si>
  <si>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</si>
  <si>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</si>
  <si>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</si>
  <si>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</si>
  <si>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</si>
  <si>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</si>
  <si>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</si>
  <si>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</si>
  <si>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</si>
  <si>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</si>
  <si>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</si>
  <si>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</si>
  <si>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</si>
  <si>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</si>
  <si>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</si>
  <si>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</si>
  <si>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</si>
  <si>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</si>
  <si>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</si>
  <si>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</si>
  <si>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</si>
  <si>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</si>
  <si>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</si>
  <si>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</si>
  <si>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</si>
  <si>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</si>
  <si>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</si>
  <si>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</si>
  <si>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</si>
  <si>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</si>
  <si>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</si>
  <si>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</si>
  <si>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</si>
  <si>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</si>
  <si>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</si>
  <si>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</si>
  <si>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</si>
  <si>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</si>
  <si>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</si>
  <si>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</si>
  <si>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</si>
  <si>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</si>
  <si>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</si>
  <si>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</si>
  <si>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</si>
  <si>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</si>
  <si>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</si>
  <si>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</si>
  <si>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</si>
  <si>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</si>
  <si>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</si>
  <si>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</si>
  <si>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</si>
  <si>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</si>
  <si>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</si>
  <si>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</si>
  <si>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</si>
  <si>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</si>
  <si>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</si>
  <si>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</si>
  <si>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</si>
  <si>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</si>
  <si>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</si>
  <si>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</si>
  <si>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</si>
  <si>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</si>
  <si>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</si>
  <si>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</si>
  <si>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</si>
  <si>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</si>
  <si>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</si>
  <si>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</si>
  <si>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</si>
  <si>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</si>
  <si>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</si>
  <si>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</si>
  <si>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</si>
  <si>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</si>
  <si>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</si>
  <si>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</si>
  <si>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</si>
  <si>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</si>
  <si>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</si>
  <si>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</si>
  <si>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</si>
  <si>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</si>
  <si>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</si>
  <si>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</si>
  <si>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</si>
  <si>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</si>
  <si>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</si>
  <si>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</si>
  <si>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</si>
  <si>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</si>
  <si>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</si>
  <si>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</si>
  <si>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</si>
  <si>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</si>
  <si>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</si>
  <si>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</si>
  <si>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</si>
  <si>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</si>
  <si>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</si>
  <si>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</si>
  <si>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</si>
  <si>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</si>
  <si>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</si>
  <si>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</si>
  <si>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</si>
  <si>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</si>
  <si>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</si>
  <si>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</si>
  <si>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</si>
  <si>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</si>
  <si>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</si>
  <si>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</si>
  <si>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</si>
  <si>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</si>
  <si>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</si>
  <si>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</si>
  <si>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</si>
  <si>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</si>
  <si>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</si>
  <si>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</si>
  <si>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</si>
  <si>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</si>
  <si>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</si>
  <si>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</si>
  <si>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</si>
  <si>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</si>
  <si>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</si>
  <si>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</si>
  <si>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</si>
  <si>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</si>
  <si>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</si>
  <si>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</si>
  <si>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</si>
  <si>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</si>
  <si>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</si>
  <si>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</si>
  <si>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</si>
  <si>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</si>
  <si>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</si>
  <si>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</si>
  <si>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</si>
  <si>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</si>
  <si>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</si>
  <si>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</si>
  <si>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</si>
  <si>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</si>
  <si>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</si>
  <si>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</si>
  <si>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</si>
  <si>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</si>
  <si>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</si>
  <si>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</si>
  <si>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</si>
  <si>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</si>
  <si>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</si>
  <si>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</si>
  <si>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</si>
  <si>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</si>
  <si>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</si>
  <si>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</si>
  <si>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</si>
  <si>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</si>
  <si>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</si>
  <si>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</si>
  <si>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</si>
  <si>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</si>
  <si>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</si>
  <si>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</si>
  <si>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</si>
  <si>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</si>
  <si>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</si>
  <si>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</si>
  <si>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</si>
  <si>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</si>
  <si>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</si>
  <si>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</si>
  <si>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</si>
  <si>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</si>
  <si>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</si>
  <si>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</si>
  <si>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</si>
  <si>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</si>
  <si>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</si>
  <si>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</si>
  <si>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</si>
  <si>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</si>
  <si>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</si>
  <si>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</si>
  <si>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</si>
  <si>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</si>
  <si>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</si>
  <si>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</si>
  <si>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</si>
  <si>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</si>
  <si>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</si>
  <si>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</si>
  <si>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</si>
  <si>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</si>
  <si>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</si>
  <si>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</si>
  <si>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</si>
  <si>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</si>
  <si>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</si>
  <si>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</si>
  <si>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</si>
  <si>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</si>
  <si>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</si>
  <si>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</si>
  <si>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</si>
  <si>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</si>
  <si>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</si>
  <si>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</si>
  <si>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</si>
  <si>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</si>
  <si>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</si>
  <si>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</si>
  <si>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</si>
  <si>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</si>
  <si>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</si>
  <si>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</si>
  <si>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</si>
  <si>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</si>
  <si>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</si>
  <si>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</si>
  <si>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</si>
  <si>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</si>
  <si>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</si>
  <si>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</si>
  <si>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</si>
  <si>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</si>
  <si>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</si>
  <si>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</si>
  <si>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</si>
  <si>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</si>
  <si>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</si>
  <si>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</si>
  <si>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</si>
  <si>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</si>
  <si>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</si>
  <si>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</si>
  <si>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</si>
  <si>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</si>
  <si>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</si>
  <si>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</si>
  <si>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</si>
  <si>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</si>
  <si>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</si>
  <si>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</si>
  <si>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</si>
  <si>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</si>
  <si>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</si>
  <si>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</si>
  <si>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</si>
  <si>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</si>
  <si>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</si>
  <si>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</si>
  <si>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</si>
  <si>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</si>
  <si>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</si>
  <si>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</si>
  <si>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</si>
  <si>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</si>
  <si>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</si>
  <si>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</si>
  <si>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</si>
  <si>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</si>
  <si>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</si>
  <si>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</si>
  <si>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</si>
  <si>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</si>
  <si>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</si>
  <si>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</si>
  <si>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</si>
  <si>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</si>
  <si>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</si>
  <si>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</si>
  <si>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</si>
  <si>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</si>
  <si>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</si>
  <si>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</si>
  <si>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</si>
  <si>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</si>
  <si>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</si>
  <si>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</si>
  <si>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</si>
  <si>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</si>
  <si>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</si>
  <si>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</si>
  <si>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</si>
  <si>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</si>
  <si>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</si>
  <si>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</si>
  <si>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</si>
  <si>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</si>
  <si>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</si>
  <si>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</si>
  <si>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</si>
  <si>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</si>
  <si>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</si>
  <si>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</si>
  <si>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</si>
  <si>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</si>
  <si>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</si>
  <si>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</si>
  <si>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</si>
  <si>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</si>
  <si>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</si>
  <si>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</si>
  <si>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</si>
  <si>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</si>
  <si>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</si>
  <si>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</si>
  <si>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</si>
  <si>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</si>
  <si>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</si>
  <si>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</si>
  <si>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</si>
  <si>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</si>
  <si>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</si>
  <si>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</si>
  <si>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</si>
  <si>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</si>
  <si>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</si>
  <si>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</si>
  <si>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</si>
  <si>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</si>
  <si>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</si>
  <si>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</si>
  <si>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</si>
  <si>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</si>
  <si>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</si>
  <si>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</si>
  <si>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</si>
  <si>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</si>
  <si>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</si>
  <si>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</si>
  <si>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</si>
  <si>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</si>
  <si>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</si>
  <si>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</si>
  <si>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</si>
  <si>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</si>
  <si>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</si>
  <si>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</si>
  <si>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</si>
  <si>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</si>
  <si>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</si>
  <si>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</si>
  <si>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</si>
  <si>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</si>
  <si>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</si>
  <si>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</si>
  <si>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</si>
  <si>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</si>
  <si>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</si>
  <si>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</si>
  <si>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</si>
  <si>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</si>
  <si>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</si>
  <si>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</si>
  <si>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</si>
  <si>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</si>
  <si>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</si>
  <si>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</si>
  <si>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</si>
  <si>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</si>
  <si>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</si>
  <si>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</si>
  <si>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</si>
  <si>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</si>
  <si>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</si>
  <si>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</si>
  <si>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</si>
  <si>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</si>
  <si>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</si>
  <si>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</si>
  <si>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</si>
  <si>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</si>
  <si>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</si>
  <si>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</si>
  <si>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</si>
  <si>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</si>
  <si>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</si>
  <si>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</si>
  <si>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</si>
  <si>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</si>
  <si>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</si>
  <si>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</si>
  <si>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</si>
  <si>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</si>
  <si>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</si>
  <si>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</si>
  <si>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</si>
  <si>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</si>
  <si>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</si>
  <si>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</si>
  <si>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</si>
  <si>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</si>
  <si>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</si>
  <si>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</si>
  <si>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</si>
  <si>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</si>
  <si>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</si>
  <si>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</si>
  <si>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</si>
  <si>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</si>
  <si>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</si>
  <si>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</si>
  <si>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</si>
  <si>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</si>
  <si>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</si>
  <si>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</si>
  <si>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</si>
  <si>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</si>
  <si>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</si>
  <si>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</si>
  <si>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</si>
  <si>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</si>
  <si>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</si>
  <si>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</si>
  <si>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</si>
  <si>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</si>
  <si>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</si>
  <si>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</si>
  <si>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</si>
  <si>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</si>
  <si>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</si>
  <si>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</si>
  <si>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</si>
  <si>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</si>
  <si>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</si>
  <si>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</si>
  <si>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</si>
  <si>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</si>
  <si>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</si>
  <si>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</si>
  <si>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</si>
  <si>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</si>
  <si>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</si>
  <si>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</si>
  <si>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</si>
  <si>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</si>
  <si>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</si>
  <si>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</si>
  <si>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</si>
  <si>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</si>
  <si>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</si>
  <si>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</si>
  <si>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</si>
  <si>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</si>
  <si>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</si>
  <si>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</si>
  <si>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</si>
  <si>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</si>
  <si>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</si>
  <si>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</si>
  <si>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</si>
  <si>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</si>
  <si>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</si>
  <si>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</si>
  <si>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</si>
  <si>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</si>
  <si>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</si>
  <si>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</si>
  <si>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</si>
  <si>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</si>
  <si>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</si>
  <si>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</si>
  <si>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</si>
  <si>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</si>
  <si>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</si>
  <si>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</si>
  <si>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</si>
  <si>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</si>
  <si>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</si>
  <si>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</si>
  <si>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</si>
  <si>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</si>
  <si>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</si>
  <si>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</si>
  <si>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</si>
  <si>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</si>
  <si>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</si>
  <si>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</si>
  <si>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</si>
  <si>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</si>
  <si>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</si>
  <si>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</si>
  <si>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</si>
  <si>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</si>
  <si>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</si>
  <si>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</si>
  <si>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</si>
  <si>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</si>
  <si>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</si>
  <si>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</si>
  <si>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</si>
  <si>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</si>
  <si>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</si>
  <si>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</si>
  <si>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</si>
  <si>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</si>
  <si>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</si>
  <si>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</si>
  <si>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</si>
  <si>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</si>
  <si>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</si>
  <si>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</si>
  <si>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</si>
  <si>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</si>
  <si>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</si>
  <si>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</si>
  <si>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</si>
  <si>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</si>
  <si>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</si>
  <si>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</si>
  <si>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</si>
  <si>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</si>
  <si>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</si>
  <si>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</si>
  <si>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</si>
  <si>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</si>
  <si>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</si>
  <si>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</si>
  <si>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</si>
  <si>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</si>
  <si>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</si>
  <si>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</si>
  <si>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</si>
  <si>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</si>
  <si>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</si>
  <si>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</si>
  <si>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</si>
  <si>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</si>
  <si>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</si>
  <si>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</si>
  <si>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</si>
  <si>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</si>
  <si>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</si>
  <si>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</si>
  <si>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</si>
  <si>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</si>
  <si>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</si>
  <si>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</si>
  <si>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</si>
  <si>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</si>
  <si>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</si>
  <si>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</si>
  <si>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</si>
  <si>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</si>
  <si>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</si>
  <si>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</si>
  <si>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</si>
  <si>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</si>
  <si>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</si>
  <si>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</si>
  <si>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</si>
  <si>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</si>
  <si>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</si>
  <si>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</si>
  <si>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</si>
  <si>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</si>
  <si>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</si>
  <si>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</si>
  <si>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</si>
  <si>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</si>
  <si>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</si>
  <si>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</si>
  <si>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</si>
  <si>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</si>
  <si>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</si>
  <si>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</si>
  <si>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</si>
  <si>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</si>
  <si>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</si>
  <si>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</si>
  <si>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</si>
  <si>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</si>
  <si>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</si>
  <si>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</si>
  <si>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</si>
  <si>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</si>
  <si>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</si>
  <si>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</si>
  <si>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</si>
  <si>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</si>
  <si>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</si>
  <si>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</si>
  <si>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</si>
  <si>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</si>
  <si>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</si>
  <si>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</si>
  <si>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</si>
  <si>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</si>
  <si>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</si>
  <si>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</si>
  <si>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</si>
  <si>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</si>
  <si>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</si>
  <si>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</si>
  <si>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</si>
  <si>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</si>
  <si>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</si>
  <si>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</si>
  <si>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</si>
  <si>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</si>
  <si>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</si>
  <si>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</si>
  <si>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</si>
  <si>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</si>
  <si>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</si>
  <si>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</si>
  <si>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</si>
  <si>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</si>
  <si>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</si>
  <si>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</si>
  <si>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</si>
  <si>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</si>
  <si>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</si>
  <si>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</si>
  <si>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</si>
  <si>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</si>
  <si>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</si>
  <si>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</si>
  <si>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</si>
  <si>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</si>
  <si>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</si>
  <si>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</si>
  <si>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</si>
  <si>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</si>
  <si>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</si>
  <si>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</si>
  <si>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</si>
  <si>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</si>
  <si>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</si>
  <si>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</si>
  <si>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</si>
  <si>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</si>
  <si>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</si>
  <si>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</si>
  <si>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</si>
  <si>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</si>
  <si>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</si>
  <si>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</si>
  <si>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</si>
  <si>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</si>
  <si>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</si>
  <si>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</si>
  <si>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</si>
  <si>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</si>
  <si>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</si>
  <si>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</si>
  <si>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</si>
  <si>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</si>
  <si>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</si>
  <si>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</si>
  <si>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</si>
  <si>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</si>
  <si>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</si>
  <si>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</si>
  <si>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</si>
  <si>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</si>
  <si>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</si>
  <si>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</si>
  <si>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</si>
  <si>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</si>
  <si>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</si>
  <si>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</si>
  <si>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</si>
  <si>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</si>
  <si>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</si>
  <si>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</si>
  <si>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</si>
  <si>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</si>
  <si>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</si>
  <si>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</si>
  <si>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</si>
  <si>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</si>
  <si>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</si>
  <si>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</si>
  <si>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</si>
  <si>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</si>
  <si>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</si>
  <si>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</si>
  <si>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</si>
  <si>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</si>
  <si>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</si>
  <si>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</si>
  <si>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</si>
  <si>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</si>
  <si>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</si>
  <si>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</si>
  <si>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</si>
  <si>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</si>
  <si>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</si>
  <si>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</si>
  <si>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</si>
  <si>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</si>
  <si>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</si>
  <si>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</si>
  <si>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</si>
  <si>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</si>
  <si>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</si>
  <si>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</si>
  <si>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</si>
  <si>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</si>
  <si>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</si>
  <si>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</si>
  <si>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</si>
  <si>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</si>
  <si>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</si>
  <si>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</si>
  <si>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</si>
  <si>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</si>
  <si>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</si>
  <si>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</si>
  <si>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</si>
  <si>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</si>
  <si>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</si>
  <si>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</si>
  <si>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</si>
  <si>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</si>
  <si>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</si>
  <si>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</si>
  <si>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</si>
  <si>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</si>
  <si>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</si>
  <si>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</si>
  <si>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</si>
  <si>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</si>
  <si>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</si>
  <si>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</si>
  <si>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</si>
  <si>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</si>
  <si>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</si>
  <si>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</si>
  <si>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</si>
  <si>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</si>
  <si>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</si>
  <si>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</si>
  <si>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</si>
  <si>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</si>
  <si>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</si>
  <si>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</si>
  <si>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</si>
  <si>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</si>
  <si>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</si>
  <si>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</si>
  <si>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</si>
  <si>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</si>
  <si>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</si>
  <si>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</si>
  <si>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</si>
  <si>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</si>
  <si>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</si>
  <si>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</si>
  <si>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</si>
  <si>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</si>
  <si>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</si>
  <si>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</si>
  <si>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</si>
  <si>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</si>
  <si>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</si>
  <si>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</si>
  <si>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</si>
  <si>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</si>
  <si>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</si>
  <si>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</si>
  <si>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</si>
  <si>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</si>
  <si>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</si>
  <si>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</si>
  <si>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</si>
  <si>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</si>
  <si>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</si>
  <si>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</si>
  <si>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</si>
  <si>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</si>
  <si>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</si>
  <si>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</si>
  <si>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</si>
  <si>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</si>
  <si>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</si>
  <si>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</si>
  <si>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</si>
  <si>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</si>
  <si>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</si>
  <si>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</si>
  <si>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</si>
  <si>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</si>
  <si>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</si>
  <si>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</si>
  <si>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</si>
  <si>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</si>
  <si>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</si>
  <si>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</si>
  <si>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</si>
  <si>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</si>
  <si>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</si>
  <si>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</si>
  <si>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</si>
  <si>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</si>
  <si>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</si>
  <si>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</si>
  <si>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</si>
  <si>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</si>
  <si>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</si>
  <si>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</si>
  <si>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</si>
  <si>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</si>
  <si>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</si>
  <si>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</si>
  <si>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</si>
  <si>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</si>
  <si>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</si>
  <si>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</si>
  <si>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</si>
  <si>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</si>
  <si>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</si>
  <si>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</si>
  <si>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</si>
  <si>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</si>
  <si>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</si>
  <si>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</si>
  <si>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</si>
  <si>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</si>
  <si>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</si>
  <si>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</si>
  <si>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</si>
  <si>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</si>
  <si>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</si>
  <si>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</si>
  <si>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</si>
  <si>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</si>
  <si>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</si>
  <si>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</si>
  <si>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</si>
  <si>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</si>
  <si>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</si>
  <si>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</si>
  <si>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</si>
  <si>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</si>
  <si>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</si>
  <si>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</si>
  <si>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</si>
  <si>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</si>
  <si>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</si>
  <si>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</si>
  <si>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</si>
  <si>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</si>
  <si>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</si>
  <si>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</si>
  <si>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</si>
  <si>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</si>
  <si>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</si>
  <si>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</si>
  <si>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</si>
  <si>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</si>
  <si>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</si>
  <si>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</si>
  <si>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</si>
  <si>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</si>
  <si>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</si>
  <si>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</si>
  <si>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</si>
  <si>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</si>
  <si>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</si>
  <si>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</si>
  <si>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</si>
  <si>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</si>
  <si>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</si>
  <si>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</si>
  <si>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</si>
  <si>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</si>
  <si>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</si>
  <si>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</si>
  <si>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</si>
  <si>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</si>
  <si>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</si>
  <si>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</si>
  <si>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</si>
  <si>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</si>
  <si>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</si>
  <si>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</si>
  <si>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</si>
  <si>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</si>
  <si>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</si>
  <si>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</si>
  <si>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</si>
  <si>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</si>
  <si>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</si>
  <si>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</si>
  <si>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</si>
  <si>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</si>
  <si>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</si>
  <si>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</si>
  <si>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</si>
  <si>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</si>
  <si>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</si>
  <si>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</si>
  <si>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</si>
  <si>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</si>
  <si>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</si>
  <si>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</si>
  <si>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</si>
  <si>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</si>
  <si>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</si>
  <si>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</si>
  <si>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</si>
  <si>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</si>
  <si>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</si>
  <si>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</si>
  <si>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</si>
  <si>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</si>
  <si>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</si>
  <si>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</si>
  <si>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</si>
  <si>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</si>
  <si>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</si>
  <si>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</si>
  <si>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</si>
  <si>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</si>
  <si>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</si>
  <si>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</si>
  <si>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</si>
  <si>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</si>
  <si>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</si>
  <si>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</si>
  <si>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</si>
  <si>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</si>
  <si>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</si>
  <si>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</si>
  <si>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</si>
  <si>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</si>
  <si>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</si>
  <si>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</si>
  <si>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</si>
  <si>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</si>
  <si>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</si>
  <si>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</si>
  <si>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</si>
  <si>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</si>
  <si>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</si>
  <si>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</si>
  <si>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</si>
  <si>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</si>
  <si>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</si>
  <si>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</si>
  <si>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</si>
  <si>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</si>
  <si>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</si>
  <si>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</si>
  <si>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</si>
  <si>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</si>
  <si>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</si>
  <si>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</si>
  <si>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</si>
  <si>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</si>
  <si>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</si>
  <si>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</si>
  <si>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</si>
  <si>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</si>
  <si>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</si>
  <si>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</si>
  <si>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</si>
  <si>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</si>
  <si>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</si>
  <si>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</si>
  <si>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</si>
  <si>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</si>
  <si>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</si>
  <si>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</si>
  <si>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</si>
  <si>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</si>
  <si>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</si>
  <si>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</si>
  <si>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</si>
  <si>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</si>
  <si>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</si>
  <si>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</si>
  <si>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</si>
  <si>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</si>
  <si>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</si>
  <si>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</si>
  <si>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</si>
  <si>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</si>
  <si>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</si>
  <si>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</si>
  <si>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</si>
  <si>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</si>
  <si>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</si>
  <si>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</si>
  <si>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</si>
  <si>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</si>
  <si>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</si>
  <si>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</si>
  <si>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</si>
  <si>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</si>
  <si>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</si>
  <si>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</si>
  <si>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</si>
  <si>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</si>
  <si>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</si>
  <si>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</si>
  <si>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</si>
  <si>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</si>
  <si>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</si>
  <si>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</si>
  <si>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</si>
  <si>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</si>
  <si>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</si>
  <si>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</si>
  <si>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</si>
  <si>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</si>
  <si>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</si>
  <si>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</si>
  <si>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</si>
  <si>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</si>
  <si>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</si>
  <si>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</si>
  <si>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</si>
  <si>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</si>
  <si>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</si>
  <si>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</si>
  <si>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</si>
  <si>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</si>
  <si>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</si>
  <si>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</si>
  <si>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</si>
  <si>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</si>
  <si>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</si>
  <si>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</si>
  <si>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</si>
  <si>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</si>
  <si>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</si>
  <si>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</si>
  <si>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</si>
  <si>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</si>
  <si>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</si>
  <si>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</si>
  <si>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</si>
  <si>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</si>
  <si>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</si>
  <si>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</si>
  <si>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</si>
  <si>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</si>
  <si>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</si>
  <si>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</si>
  <si>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</si>
  <si>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</si>
  <si>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</si>
  <si>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</si>
  <si>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</si>
  <si>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</si>
  <si>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</si>
  <si>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</si>
  <si>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</si>
  <si>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</si>
  <si>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</si>
  <si>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</si>
  <si>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</si>
  <si>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</si>
  <si>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</si>
  <si>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</si>
  <si>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</si>
  <si>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</si>
  <si>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</si>
  <si>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</si>
  <si>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</si>
  <si>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</si>
  <si>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</si>
  <si>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</si>
  <si>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</si>
  <si>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</si>
  <si>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</si>
  <si>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</si>
  <si>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</si>
  <si>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</si>
  <si>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</si>
  <si>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</si>
  <si>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</si>
  <si>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</si>
  <si>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</si>
  <si>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</si>
  <si>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</si>
  <si>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</si>
  <si>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</si>
  <si>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</si>
  <si>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</si>
  <si>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</si>
  <si>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</si>
  <si>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</si>
  <si>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</si>
  <si>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</si>
  <si>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</si>
  <si>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</si>
  <si>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</si>
  <si>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</si>
  <si>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</si>
  <si>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</si>
  <si>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</si>
  <si>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</si>
  <si>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</si>
  <si>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</si>
  <si>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</si>
  <si>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</si>
  <si>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</si>
  <si>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</si>
  <si>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</si>
  <si>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</si>
  <si>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</si>
  <si>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</si>
  <si>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</si>
  <si>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</si>
  <si>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</si>
  <si>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</si>
  <si>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</si>
  <si>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</si>
  <si>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</si>
  <si>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</si>
  <si>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</si>
  <si>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</si>
  <si>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</si>
  <si>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</si>
  <si>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</si>
  <si>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</si>
  <si>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</si>
  <si>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</si>
  <si>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</si>
  <si>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</si>
  <si>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</si>
  <si>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</si>
  <si>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</si>
  <si>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</si>
  <si>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</si>
  <si>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</si>
  <si>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</si>
  <si>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</si>
  <si>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</si>
  <si>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</si>
  <si>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</si>
  <si>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</si>
  <si>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</si>
  <si>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</si>
  <si>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</si>
  <si>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</si>
  <si>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</si>
  <si>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</si>
  <si>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</si>
  <si>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</si>
  <si>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</si>
  <si>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</si>
  <si>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</si>
  <si>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</si>
  <si>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</si>
  <si>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</si>
  <si>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</si>
  <si>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</si>
  <si>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</si>
  <si>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</si>
  <si>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</si>
  <si>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</si>
  <si>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</si>
  <si>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</si>
  <si>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</si>
  <si>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</si>
  <si>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</si>
  <si>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</si>
  <si>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</si>
  <si>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</si>
  <si>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</si>
  <si>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</si>
  <si>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</si>
  <si>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</si>
  <si>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</si>
  <si>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</si>
  <si>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</si>
  <si>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</si>
  <si>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</si>
  <si>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</si>
  <si>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</si>
  <si>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</si>
  <si>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</si>
  <si>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</si>
  <si>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</si>
  <si>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</si>
  <si>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</si>
  <si>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</si>
  <si>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</si>
  <si>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</si>
  <si>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</si>
  <si>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</si>
  <si>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</si>
  <si>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</si>
  <si>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</si>
  <si>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</si>
  <si>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</si>
  <si>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</si>
  <si>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</si>
  <si>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</si>
  <si>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</si>
  <si>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</si>
  <si>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</si>
  <si>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</si>
  <si>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</si>
  <si>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</si>
  <si>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</si>
  <si>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</si>
  <si>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</si>
  <si>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</si>
  <si>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</si>
  <si>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</si>
  <si>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</si>
  <si>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</si>
  <si>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</si>
  <si>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</si>
  <si>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</si>
  <si>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</si>
  <si>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</si>
  <si>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</si>
  <si>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</si>
  <si>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</si>
  <si>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</si>
  <si>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</si>
  <si>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</si>
  <si>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</si>
  <si>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</si>
  <si>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</si>
  <si>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</si>
  <si>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</si>
  <si>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</si>
  <si>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</si>
  <si>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</si>
  <si>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</si>
  <si>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</si>
  <si>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</si>
  <si>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</si>
  <si>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</si>
  <si>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</si>
  <si>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</si>
  <si>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</si>
  <si>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</si>
  <si>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</si>
  <si>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</si>
  <si>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</si>
  <si>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</si>
  <si>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</si>
  <si>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</si>
  <si>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</si>
  <si>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</si>
  <si>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</si>
  <si>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</si>
  <si>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</si>
  <si>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</si>
  <si>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</si>
  <si>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</si>
  <si>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</si>
  <si>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</si>
  <si>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</si>
  <si>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</si>
  <si>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</si>
  <si>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</si>
  <si>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</si>
  <si>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</si>
  <si>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</si>
  <si>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</si>
  <si>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</si>
  <si>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</si>
  <si>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</si>
  <si>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</si>
  <si>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</si>
  <si>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</si>
  <si>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</si>
  <si>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</si>
  <si>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</si>
  <si>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</si>
  <si>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</si>
  <si>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</si>
  <si>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</si>
  <si>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</si>
  <si>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</si>
  <si>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</si>
  <si>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</si>
  <si>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</si>
  <si>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</si>
  <si>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</si>
  <si>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</si>
  <si>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</si>
  <si>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</si>
  <si>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</si>
  <si>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</si>
  <si>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</si>
  <si>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</si>
  <si>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</si>
  <si>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</si>
  <si>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</si>
  <si>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</si>
  <si>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</si>
  <si>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</si>
  <si>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</si>
  <si>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</si>
  <si>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</si>
  <si>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</si>
  <si>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</si>
  <si>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</si>
  <si>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</si>
  <si>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</si>
  <si>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</si>
  <si>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</si>
  <si>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</si>
  <si>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</si>
  <si>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</si>
  <si>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</si>
  <si>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</si>
  <si>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</si>
  <si>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</si>
  <si>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</si>
  <si>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</si>
  <si>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</si>
  <si>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</si>
  <si>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</si>
  <si>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</si>
  <si>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</si>
  <si>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</si>
  <si>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</si>
  <si>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</si>
  <si>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</si>
  <si>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</si>
  <si>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</si>
  <si>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</si>
  <si>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</si>
  <si>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</si>
  <si>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</si>
  <si>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</si>
  <si>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</si>
  <si>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</si>
  <si>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</si>
  <si>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</si>
  <si>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</si>
  <si>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</si>
  <si>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</si>
  <si>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</si>
  <si>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</si>
  <si>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</si>
  <si>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</si>
  <si>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</si>
  <si>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</si>
  <si>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</si>
  <si>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</si>
  <si>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</si>
  <si>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</si>
  <si>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</si>
  <si>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</si>
  <si>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</si>
  <si>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</si>
  <si>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</si>
  <si>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</si>
  <si>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</si>
  <si>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</si>
  <si>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</si>
  <si>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</si>
  <si>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</si>
  <si>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</si>
  <si>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</si>
  <si>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</si>
  <si>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</si>
  <si>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</si>
  <si>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</si>
  <si>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</si>
  <si>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</si>
  <si>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</si>
  <si>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</si>
  <si>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</si>
  <si>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</si>
  <si>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</si>
  <si>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</si>
  <si>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</si>
  <si>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</si>
  <si>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</si>
  <si>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</si>
  <si>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</si>
  <si>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</si>
  <si>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</si>
  <si>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</si>
  <si>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</si>
  <si>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</si>
  <si>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</si>
  <si>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</si>
  <si>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</si>
  <si>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</si>
  <si>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</si>
  <si>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</si>
  <si>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</si>
  <si>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</si>
  <si>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</si>
  <si>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</si>
  <si>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</si>
  <si>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</si>
  <si>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</si>
  <si>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</si>
  <si>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</si>
  <si>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</si>
  <si>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</si>
  <si>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</si>
  <si>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</si>
  <si>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</si>
  <si>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</si>
  <si>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</si>
  <si>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</si>
  <si>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</si>
  <si>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</si>
  <si>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</si>
  <si>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</si>
  <si>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</si>
  <si>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</si>
  <si>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</si>
  <si>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</si>
  <si>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</si>
  <si>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</si>
  <si>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</si>
  <si>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</si>
  <si>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</si>
  <si>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</si>
  <si>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</si>
  <si>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</si>
  <si>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</si>
  <si>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</si>
  <si>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</si>
  <si>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</si>
  <si>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</si>
  <si>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</si>
  <si>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</si>
  <si>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</si>
  <si>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</si>
  <si>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</si>
  <si>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</si>
  <si>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</si>
  <si>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</si>
  <si>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</si>
  <si>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</si>
  <si>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</si>
  <si>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</si>
  <si>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</si>
  <si>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</si>
  <si>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</si>
  <si>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</si>
  <si>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</si>
  <si>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</si>
  <si>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</si>
  <si>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</si>
  <si>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</si>
  <si>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</si>
  <si>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</si>
  <si>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</si>
  <si>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</si>
  <si>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</si>
  <si>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</si>
  <si>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</si>
  <si>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</si>
  <si>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</si>
  <si>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</si>
  <si>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</si>
  <si>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</si>
  <si>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</si>
  <si>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</si>
  <si>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</si>
  <si>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</si>
  <si>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</si>
  <si>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</si>
  <si>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</si>
  <si>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</si>
  <si>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</si>
  <si>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</si>
  <si>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</si>
  <si>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</si>
  <si>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</si>
  <si>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</si>
  <si>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</si>
  <si>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</si>
  <si>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</si>
  <si>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</si>
  <si>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</si>
  <si>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</si>
  <si>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</si>
  <si>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</si>
  <si>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</si>
  <si>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</si>
  <si>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</si>
  <si>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</si>
  <si>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</si>
  <si>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</si>
  <si>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</si>
  <si>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</si>
  <si>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</si>
  <si>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</si>
  <si>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</si>
  <si>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</si>
  <si>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</si>
  <si>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</si>
  <si>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</si>
  <si>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</si>
  <si>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</si>
  <si>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</si>
  <si>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</si>
  <si>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</si>
  <si>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</si>
  <si>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</si>
  <si>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</si>
  <si>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</si>
  <si>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</si>
  <si>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</si>
  <si>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</si>
  <si>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</si>
  <si>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</si>
  <si>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</si>
  <si>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</si>
  <si>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</si>
  <si>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</si>
  <si>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</si>
  <si>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</si>
  <si>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</si>
  <si>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</si>
  <si>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</si>
  <si>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</si>
  <si>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</si>
  <si>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</si>
  <si>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</si>
  <si>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</si>
  <si>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</si>
  <si>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</si>
  <si>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</si>
  <si>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</si>
  <si>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</si>
  <si>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</si>
  <si>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</si>
  <si>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</si>
  <si>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</si>
  <si>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</si>
  <si>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</si>
  <si>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</si>
  <si>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</si>
  <si>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</si>
  <si>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</si>
  <si>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</si>
  <si>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</si>
  <si>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</si>
  <si>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</si>
  <si>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</si>
  <si>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</si>
  <si>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</si>
  <si>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</si>
  <si>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</si>
  <si>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</si>
  <si>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</si>
  <si>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</si>
  <si>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</si>
  <si>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</si>
  <si>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</si>
  <si>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</si>
  <si>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</si>
  <si>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</si>
  <si>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</si>
  <si>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</si>
  <si>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</si>
  <si>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</si>
  <si>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</si>
  <si>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</si>
  <si>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</si>
  <si>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</si>
  <si>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</si>
  <si>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</si>
  <si>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</si>
  <si>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</si>
  <si>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</si>
  <si>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</si>
  <si>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</si>
  <si>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</si>
  <si>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</si>
  <si>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</si>
  <si>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</si>
  <si>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</si>
  <si>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</si>
  <si>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</si>
  <si>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</si>
  <si>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</si>
  <si>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</si>
  <si>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</si>
  <si>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</si>
  <si>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</si>
  <si>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</si>
  <si>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</si>
  <si>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</si>
  <si>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</si>
  <si>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</si>
  <si>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</si>
  <si>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</si>
  <si>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</si>
  <si>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</si>
  <si>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</si>
  <si>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</si>
  <si>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</si>
  <si>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</si>
  <si>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</si>
  <si>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</si>
  <si>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</si>
  <si>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</si>
  <si>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</si>
  <si>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</si>
  <si>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</si>
  <si>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</si>
  <si>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</si>
  <si>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</si>
  <si>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</si>
  <si>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</si>
  <si>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</si>
  <si>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</si>
  <si>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</si>
  <si>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</si>
  <si>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</si>
  <si>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</si>
  <si>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</si>
  <si>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</si>
  <si>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</si>
  <si>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</si>
  <si>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</si>
  <si>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</si>
  <si>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</si>
  <si>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</si>
  <si>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</si>
  <si>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</si>
  <si>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</si>
  <si>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</si>
  <si>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</si>
  <si>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</si>
  <si>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</si>
  <si>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</si>
  <si>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</si>
  <si>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</si>
  <si>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</si>
  <si>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</si>
  <si>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</si>
  <si>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</si>
  <si>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</si>
  <si>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</si>
  <si>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</si>
  <si>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</si>
  <si>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</si>
  <si>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</si>
  <si>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</si>
  <si>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</si>
  <si>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</si>
  <si>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</si>
  <si>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</si>
  <si>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</si>
  <si>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</si>
  <si>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</si>
  <si>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</si>
  <si>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</si>
  <si>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</si>
  <si>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</si>
  <si>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</si>
  <si>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</si>
  <si>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</si>
  <si>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</si>
  <si>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</si>
  <si>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</si>
  <si>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</si>
  <si>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</si>
  <si>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</si>
  <si>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</si>
  <si>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</si>
  <si>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</si>
  <si>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</si>
  <si>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</si>
  <si>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</si>
  <si>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</si>
  <si>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</si>
  <si>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</si>
  <si>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</si>
  <si>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</si>
  <si>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</si>
  <si>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</si>
  <si>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</si>
  <si>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</si>
  <si>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</si>
  <si>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</si>
  <si>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</si>
  <si>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</si>
  <si>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</si>
  <si>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</si>
  <si>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</si>
  <si>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</si>
  <si>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</si>
  <si>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</si>
  <si>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</si>
  <si>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</si>
  <si>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</si>
  <si>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</si>
  <si>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</si>
  <si>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</si>
  <si>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</si>
  <si>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</si>
  <si>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</si>
  <si>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</si>
  <si>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</si>
  <si>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</si>
  <si>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</si>
  <si>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</si>
  <si>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</si>
  <si>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</si>
  <si>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</si>
  <si>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</si>
  <si>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</si>
  <si>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</si>
  <si>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</si>
  <si>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</si>
  <si>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</si>
  <si>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</si>
  <si>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</si>
  <si>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</si>
  <si>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</si>
  <si>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</si>
  <si>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</si>
  <si>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</si>
  <si>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</si>
  <si>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</si>
  <si>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</si>
  <si>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</si>
  <si>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</si>
  <si>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</si>
  <si>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</si>
  <si>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</si>
  <si>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</si>
  <si>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</si>
  <si>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</si>
  <si>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</si>
  <si>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</si>
  <si>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</si>
  <si>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</si>
  <si>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</si>
  <si>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</si>
  <si>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</si>
  <si>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</si>
  <si>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</si>
  <si>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</si>
  <si>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</si>
  <si>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</si>
  <si>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</si>
  <si>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</si>
  <si>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</si>
  <si>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</si>
  <si>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</si>
  <si>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</si>
  <si>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</si>
  <si>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</si>
  <si>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</si>
  <si>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</si>
  <si>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</si>
  <si>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</si>
  <si>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</si>
  <si>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</si>
  <si>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</si>
  <si>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</si>
  <si>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</si>
  <si>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</si>
  <si>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</si>
  <si>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</si>
  <si>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</si>
  <si>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</si>
  <si>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</si>
  <si>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</si>
  <si>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</si>
  <si>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</si>
  <si>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</si>
  <si>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</si>
  <si>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</si>
  <si>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</si>
  <si>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</si>
  <si>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</si>
  <si>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</si>
  <si>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</si>
  <si>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</si>
  <si>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</si>
  <si>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</si>
  <si>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</si>
  <si>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</si>
  <si>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</si>
  <si>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</si>
  <si>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</si>
  <si>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</si>
  <si>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</si>
  <si>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</si>
  <si>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</si>
  <si>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</si>
  <si>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</si>
  <si>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</si>
  <si>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</si>
  <si>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</si>
  <si>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</si>
  <si>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</si>
  <si>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</si>
  <si>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</si>
  <si>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</si>
  <si>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</si>
  <si>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</si>
  <si>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</si>
  <si>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</si>
  <si>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</si>
  <si>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</si>
  <si>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</si>
  <si>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</si>
  <si>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</si>
  <si>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</si>
  <si>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</si>
  <si>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</si>
  <si>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</si>
  <si>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</si>
  <si>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</si>
  <si>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</si>
  <si>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</si>
  <si>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</si>
  <si>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</si>
  <si>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</si>
  <si>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</si>
  <si>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</si>
  <si>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</si>
  <si>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</si>
  <si>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</si>
  <si>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</si>
  <si>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</si>
  <si>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</si>
  <si>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</si>
  <si>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</si>
  <si>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</si>
  <si>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</si>
  <si>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</si>
  <si>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</si>
  <si>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</si>
  <si>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</si>
  <si>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</si>
  <si>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</si>
  <si>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</si>
  <si>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</si>
  <si>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</si>
  <si>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</si>
  <si>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</si>
  <si>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</si>
  <si>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</si>
  <si>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</si>
  <si>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</si>
  <si>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</si>
  <si>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</si>
  <si>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</si>
  <si>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</si>
  <si>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</si>
  <si>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</si>
  <si>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</si>
  <si>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</si>
  <si>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</si>
  <si>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</si>
  <si>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</si>
  <si>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</si>
  <si>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</si>
  <si>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</si>
  <si>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</si>
  <si>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</si>
  <si>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</si>
  <si>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</si>
  <si>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</si>
  <si>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</si>
  <si>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</si>
  <si>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</si>
  <si>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</si>
  <si>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</si>
  <si>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</si>
  <si>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</si>
  <si>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</si>
  <si>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</si>
  <si>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</si>
  <si>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</si>
  <si>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</si>
  <si>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</si>
  <si>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</si>
  <si>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</si>
  <si>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</si>
  <si>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</si>
  <si>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</si>
  <si>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</si>
  <si>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</si>
  <si>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</si>
  <si>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</si>
  <si>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</si>
  <si>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</si>
  <si>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</si>
  <si>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</si>
  <si>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</si>
  <si>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</si>
  <si>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</si>
  <si>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</si>
  <si>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</si>
  <si>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</si>
  <si>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</si>
  <si>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</si>
  <si>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</si>
  <si>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</si>
  <si>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</si>
  <si>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</si>
  <si>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</si>
  <si>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</si>
  <si>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</si>
  <si>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</si>
  <si>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</si>
  <si>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</si>
  <si>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</si>
  <si>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</si>
  <si>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</si>
  <si>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</si>
  <si>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</si>
  <si>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</si>
  <si>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</si>
  <si>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</si>
  <si>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</si>
  <si>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</si>
  <si>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</si>
  <si>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</si>
  <si>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</si>
  <si>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</si>
  <si>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</si>
  <si>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</si>
  <si>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</si>
  <si>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</si>
  <si>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</si>
  <si>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</si>
  <si>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</si>
  <si>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</si>
  <si>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</si>
  <si>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</si>
  <si>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</si>
  <si>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</si>
  <si>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</si>
  <si>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</si>
  <si>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</si>
  <si>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</si>
  <si>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</si>
  <si>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</si>
  <si>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</si>
  <si>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</si>
  <si>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</si>
  <si>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</si>
  <si>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</si>
  <si>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</si>
  <si>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</si>
  <si>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</si>
  <si>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</si>
  <si>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</si>
  <si>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</si>
  <si>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</si>
  <si>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</si>
  <si>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</si>
  <si>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</si>
  <si>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</si>
  <si>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</si>
  <si>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</si>
  <si>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</si>
  <si>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</si>
  <si>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</si>
  <si>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</si>
  <si>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</si>
  <si>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</si>
  <si>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</si>
  <si>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</si>
  <si>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</si>
  <si>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</si>
  <si>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</si>
  <si>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</si>
  <si>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</si>
  <si>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</si>
  <si>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</si>
  <si>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</si>
  <si>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</si>
  <si>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</si>
  <si>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</si>
  <si>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</si>
  <si>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</si>
  <si>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</si>
  <si>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</si>
  <si>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</si>
  <si>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</si>
  <si>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</si>
  <si>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</si>
  <si>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</si>
  <si>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</si>
  <si>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</si>
  <si>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</si>
  <si>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</si>
  <si>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</si>
  <si>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</si>
  <si>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</si>
  <si>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</si>
  <si>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</si>
  <si>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</si>
  <si>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</si>
  <si>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</si>
  <si>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</si>
  <si>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</si>
  <si>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</si>
  <si>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</si>
  <si>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</si>
  <si>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</si>
  <si>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</si>
  <si>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</si>
  <si>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</si>
  <si>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</si>
  <si>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</si>
  <si>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</si>
  <si>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</si>
  <si>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</si>
  <si>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</si>
  <si>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</si>
  <si>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</si>
  <si>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</si>
  <si>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</si>
  <si>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</si>
  <si>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</si>
  <si>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</si>
  <si>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</si>
  <si>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</si>
  <si>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</si>
  <si>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</si>
  <si>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</si>
  <si>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</si>
  <si>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</si>
  <si>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</si>
  <si>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</si>
  <si>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</si>
  <si>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</si>
  <si>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</si>
  <si>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</si>
  <si>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</si>
  <si>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</si>
  <si>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</si>
  <si>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</si>
  <si>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</si>
  <si>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</si>
  <si>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</si>
  <si>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</si>
  <si>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</si>
  <si>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</si>
  <si>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</si>
  <si>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</si>
  <si>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</si>
  <si>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</si>
  <si>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</si>
  <si>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</si>
  <si>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</si>
  <si>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</si>
  <si>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</si>
  <si>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</si>
  <si>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</si>
  <si>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</si>
  <si>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</si>
  <si>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</si>
  <si>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</si>
  <si>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</si>
  <si>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</si>
  <si>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</si>
  <si>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</si>
  <si>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</si>
  <si>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</si>
  <si>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</si>
  <si>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</si>
  <si>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</si>
  <si>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</si>
  <si>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</si>
  <si>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</si>
  <si>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</si>
  <si>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</si>
  <si>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</si>
  <si>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</si>
  <si>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</si>
  <si>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</si>
  <si>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</si>
  <si>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</si>
  <si>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</si>
  <si>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</si>
  <si>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</si>
  <si>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</si>
  <si>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</si>
  <si>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</si>
  <si>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</si>
  <si>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</si>
  <si>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</si>
  <si>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</si>
  <si>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</si>
  <si>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</si>
  <si>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</si>
  <si>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</si>
  <si>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</si>
  <si>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</si>
  <si>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</si>
  <si>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</si>
  <si>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</si>
  <si>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</si>
  <si>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</si>
  <si>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</si>
  <si>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</si>
  <si>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</si>
  <si>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</si>
  <si>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</si>
  <si>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</si>
  <si>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</si>
  <si>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</si>
  <si>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</si>
  <si>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</si>
  <si>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</si>
  <si>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</si>
  <si>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</si>
  <si>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</si>
  <si>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</si>
  <si>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</si>
  <si>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</si>
  <si>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</si>
  <si>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</si>
  <si>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</si>
  <si>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</si>
  <si>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</si>
  <si>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</si>
  <si>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</si>
  <si>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</si>
  <si>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</si>
  <si>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</si>
  <si>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</si>
  <si>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</si>
  <si>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</si>
  <si>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</si>
  <si>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</si>
  <si>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</si>
  <si>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</si>
  <si>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</si>
  <si>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</si>
  <si>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</si>
  <si>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</si>
  <si>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</si>
  <si>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</si>
  <si>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</si>
  <si>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</si>
  <si>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</si>
  <si>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</si>
  <si>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</si>
  <si>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</si>
  <si>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</si>
  <si>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</si>
  <si>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</si>
  <si>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</si>
  <si>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</si>
  <si>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</si>
  <si>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</si>
  <si>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</si>
  <si>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</si>
  <si>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</si>
  <si>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</si>
  <si>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</si>
  <si>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</si>
  <si>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</si>
  <si>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</si>
  <si>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</si>
  <si>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</si>
  <si>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</si>
  <si>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</si>
  <si>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</si>
  <si>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</si>
  <si>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</si>
  <si>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</si>
  <si>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</si>
  <si>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</si>
  <si>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</si>
  <si>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</si>
  <si>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</si>
  <si>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</si>
  <si>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</si>
  <si>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</si>
  <si>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</si>
  <si>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</si>
  <si>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</si>
  <si>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</si>
  <si>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</si>
  <si>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</si>
  <si>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</si>
  <si>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</si>
  <si>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</si>
  <si>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</si>
  <si>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</si>
  <si>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</si>
  <si>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</si>
  <si>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</si>
  <si>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</si>
  <si>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</si>
  <si>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</si>
  <si>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</si>
  <si>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</si>
  <si>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</si>
  <si>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</si>
  <si>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</si>
  <si>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</si>
  <si>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</si>
  <si>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</si>
  <si>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</si>
  <si>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</si>
  <si>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</si>
  <si>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</si>
  <si>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</si>
  <si>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</si>
  <si>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</si>
  <si>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</si>
  <si>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</si>
  <si>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</si>
  <si>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</si>
  <si>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</si>
  <si>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</si>
  <si>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</si>
  <si>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</si>
  <si>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</si>
  <si>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</si>
  <si>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</si>
  <si>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</si>
  <si>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</si>
  <si>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</si>
  <si>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</si>
  <si>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</si>
  <si>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</si>
  <si>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</si>
  <si>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</si>
  <si>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</si>
  <si>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</si>
  <si>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</si>
  <si>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</si>
  <si>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</si>
  <si>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</si>
  <si>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</si>
  <si>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</si>
  <si>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</si>
  <si>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</si>
  <si>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</si>
  <si>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</si>
  <si>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</si>
  <si>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</si>
  <si>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</si>
  <si>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</si>
  <si>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</si>
  <si>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</si>
  <si>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</si>
  <si>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</si>
  <si>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</si>
  <si>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</si>
  <si>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</si>
  <si>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</si>
  <si>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</si>
  <si>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</si>
  <si>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</si>
  <si>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</si>
  <si>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</si>
  <si>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</si>
  <si>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</si>
  <si>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</si>
  <si>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</si>
  <si>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</si>
  <si>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</si>
  <si>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</si>
  <si>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</si>
  <si>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</si>
  <si>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</si>
  <si>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</si>
  <si>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</si>
  <si>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</si>
  <si>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</si>
  <si>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</si>
  <si>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</si>
  <si>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</si>
  <si>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</si>
  <si>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</si>
  <si>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</si>
  <si>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</si>
  <si>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</si>
  <si>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</si>
  <si>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</si>
  <si>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</si>
  <si>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</si>
  <si>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</si>
  <si>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</si>
  <si>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</si>
  <si>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</si>
  <si>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</si>
  <si>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</si>
  <si>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</si>
  <si>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</si>
  <si>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</si>
  <si>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</si>
  <si>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</si>
  <si>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</si>
  <si>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</si>
  <si>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</si>
  <si>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</si>
  <si>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</si>
  <si>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</si>
  <si>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</si>
  <si>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</si>
  <si>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</si>
  <si>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</si>
  <si>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</si>
  <si>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</si>
  <si>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</si>
  <si>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</si>
  <si>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</si>
  <si>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</si>
  <si>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</si>
  <si>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</si>
  <si>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</si>
  <si>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</si>
  <si>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</si>
  <si>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</si>
  <si>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phoneticPr fontId="32" type="noConversion"/>
  </si>
  <si>
    <t>混合</t>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</si>
  <si>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</si>
  <si>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</si>
  <si>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</si>
  <si>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</si>
  <si>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</si>
  <si>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</si>
  <si>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</si>
  <si>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</si>
  <si>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</si>
  <si>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</si>
  <si>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</si>
  <si>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</si>
  <si>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</si>
  <si>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</si>
  <si>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</si>
  <si>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</si>
  <si>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</si>
  <si>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</si>
  <si>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</si>
  <si>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</si>
  <si>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</si>
  <si>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</si>
  <si>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</si>
  <si>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</si>
  <si>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</si>
  <si>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</si>
  <si>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</si>
  <si>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</si>
  <si>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</si>
  <si>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</si>
  <si>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</si>
  <si>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</si>
  <si>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</si>
  <si>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</si>
  <si>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</si>
  <si>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</si>
  <si>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</si>
  <si>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</si>
  <si>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</si>
  <si>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</si>
  <si>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</si>
  <si>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</si>
  <si>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</si>
  <si>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</si>
  <si>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</si>
  <si>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</si>
  <si>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</si>
  <si>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</si>
  <si>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</si>
  <si>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</si>
  <si>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</si>
  <si>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</si>
  <si>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</si>
  <si>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</si>
  <si>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</si>
  <si>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</si>
  <si>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</si>
  <si>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</si>
  <si>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</si>
  <si>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</si>
  <si>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</si>
  <si>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</si>
  <si>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</si>
  <si>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</si>
  <si>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20-30（含）</t>
  </si>
  <si>
    <t>水道子胡同</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</si>
  <si>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</si>
  <si>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</si>
  <si>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</si>
  <si>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</si>
  <si>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</si>
  <si>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</si>
  <si>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phoneticPr fontId="32" type="noConversion"/>
  </si>
  <si>
    <t>可以</t>
    <phoneticPr fontId="32" type="noConversion"/>
  </si>
  <si>
    <t>不可以</t>
    <phoneticPr fontId="32" type="noConversion"/>
  </si>
  <si>
    <t>超高层高</t>
    <phoneticPr fontId="32" type="noConversion"/>
  </si>
  <si>
    <t>比较法-办公</t>
  </si>
  <si>
    <t>成本法</t>
  </si>
  <si>
    <t>年收益</t>
    <phoneticPr fontId="140" type="noConversion"/>
  </si>
  <si>
    <t>改造</t>
    <phoneticPr fontId="140" type="noConversion"/>
  </si>
  <si>
    <r>
      <t>1</t>
    </r>
    <r>
      <rPr>
        <sz val="11"/>
        <color theme="1"/>
        <rFont val="宋体"/>
        <family val="3"/>
        <charset val="134"/>
        <scheme val="minor"/>
      </rPr>
      <t>0年摊销</t>
    </r>
    <phoneticPr fontId="140" type="noConversion"/>
  </si>
  <si>
    <t>每平米</t>
    <phoneticPr fontId="140" type="noConversion"/>
  </si>
  <si>
    <t>占地面积</t>
    <phoneticPr fontId="140" type="noConversion"/>
  </si>
  <si>
    <t>可出租土地面积</t>
    <phoneticPr fontId="140" type="noConversion"/>
  </si>
  <si>
    <t>德必天坛WE</t>
    <phoneticPr fontId="3" type="noConversion"/>
  </si>
  <si>
    <t>法华寺街</t>
    <phoneticPr fontId="32" type="noConversion"/>
  </si>
  <si>
    <t>次干道</t>
  </si>
  <si>
    <t>新阳商务楼</t>
    <phoneticPr fontId="3" type="noConversion"/>
  </si>
  <si>
    <t>搜宝崇文中心</t>
    <phoneticPr fontId="3" type="noConversion"/>
  </si>
  <si>
    <t>单套办公</t>
  </si>
  <si>
    <t>单套办公</t>
    <phoneticPr fontId="32" type="noConversion"/>
  </si>
  <si>
    <t>独立办公区域</t>
  </si>
  <si>
    <t>独立办公区域</t>
    <phoneticPr fontId="32" type="noConversion"/>
  </si>
  <si>
    <t>土地租金</t>
    <phoneticPr fontId="32" type="noConversion"/>
  </si>
  <si>
    <t>资本化率</t>
    <phoneticPr fontId="140" type="noConversion"/>
  </si>
  <si>
    <t>建筑物</t>
    <phoneticPr fontId="140" type="noConversion"/>
  </si>
  <si>
    <t>土地</t>
    <phoneticPr fontId="140" type="noConversion"/>
  </si>
  <si>
    <t>房地产价值验证</t>
    <phoneticPr fontId="140" type="noConversion"/>
  </si>
  <si>
    <t>原始残留装修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</si>
</sst>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12" borderId="1" xfId="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134" fillId="0" borderId="44"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5" xfId="0" applyFont="1" applyBorder="1" applyAlignment="1" applyProtection="1">
      <alignment horizontal="center" vertical="center" wrapText="1"/>
      <protection locked="0"/>
    </xf>
    <xf numFmtId="9" fontId="46" fillId="0" borderId="41" xfId="0" applyNumberFormat="1"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134" fillId="0" borderId="41" xfId="0" applyFont="1" applyBorder="1" applyAlignment="1" applyProtection="1">
      <alignment horizontal="center" vertical="center" wrapText="1"/>
      <protection locked="0"/>
    </xf>
    <xf numFmtId="0" fontId="257" fillId="12" borderId="0" xfId="0" applyFont="1" applyFill="1" applyAlignment="1" applyProtection="1">
      <alignment horizontal="center" vertical="center"/>
      <protection locked="0"/>
    </xf>
    <xf numFmtId="0" fontId="145" fillId="7" borderId="0" xfId="0" applyFont="1" applyFill="1" applyAlignment="1" applyProtection="1">
      <alignment horizontal="left" vertical="center" wrapText="1"/>
      <protection locked="0"/>
    </xf>
    <xf numFmtId="0" fontId="257" fillId="0" borderId="0" xfId="0" applyFont="1" applyAlignment="1" applyProtection="1">
      <alignment horizontal="center" vertical="center"/>
      <protection locked="0"/>
    </xf>
    <xf numFmtId="9" fontId="166" fillId="12" borderId="0" xfId="12" applyNumberFormat="1" applyFont="1" applyFill="1" applyAlignment="1" applyProtection="1">
      <alignment horizontal="left" vertical="center" wrapText="1"/>
      <protection locked="0"/>
    </xf>
    <xf numFmtId="177" fontId="165" fillId="0" borderId="0" xfId="12" applyNumberFormat="1" applyAlignment="1" applyProtection="1">
      <alignment horizontal="left"/>
      <protection locked="0"/>
    </xf>
    <xf numFmtId="0" fontId="60" fillId="18" borderId="3" xfId="0" applyFont="1" applyFill="1" applyBorder="1" applyAlignment="1" applyProtection="1">
      <alignment horizontal="center" vertical="center" wrapText="1"/>
      <protection locked="0"/>
    </xf>
    <xf numFmtId="0" fontId="134" fillId="18" borderId="5" xfId="0" applyFont="1" applyFill="1" applyBorder="1" applyAlignment="1" applyProtection="1">
      <alignment horizontal="center" vertical="center" wrapText="1"/>
      <protection locked="0"/>
    </xf>
    <xf numFmtId="9" fontId="46" fillId="18" borderId="37" xfId="0" applyNumberFormat="1" applyFont="1" applyFill="1" applyBorder="1" applyAlignment="1" applyProtection="1">
      <alignment horizontal="center" vertical="center" wrapText="1"/>
      <protection locked="0"/>
    </xf>
    <xf numFmtId="9" fontId="102" fillId="18" borderId="37" xfId="0" applyNumberFormat="1" applyFont="1" applyFill="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0" fontId="256" fillId="0" borderId="1" xfId="0" applyFont="1" applyBorder="1" applyAlignment="1">
      <alignment horizontal="left"/>
    </xf>
    <xf numFmtId="10" fontId="256" fillId="0" borderId="1" xfId="17" applyNumberFormat="1" applyFont="1" applyFill="1" applyBorder="1" applyAlignment="1">
      <alignment horizontal="left"/>
    </xf>
    <xf numFmtId="49" fontId="256" fillId="0" borderId="1" xfId="0" applyNumberFormat="1" applyFont="1" applyBorder="1" applyAlignment="1">
      <alignment horizontal="left" vertical="center"/>
    </xf>
    <xf numFmtId="10" fontId="0" fillId="0" borderId="0" xfId="17" applyNumberFormat="1" applyFont="1" applyFill="1" applyAlignment="1"/>
    <xf numFmtId="0" fontId="103" fillId="0" borderId="1" xfId="0" applyFont="1" applyBorder="1" applyAlignment="1">
      <alignment horizontal="left" vertical="center"/>
    </xf>
    <xf numFmtId="10" fontId="0" fillId="0" borderId="0" xfId="0" applyNumberFormat="1" applyAlignment="1"/>
    <xf numFmtId="0" fontId="0" fillId="0" borderId="0" xfId="0" applyAlignment="1">
      <alignment horizontal="left" vertical="center"/>
    </xf>
    <xf numFmtId="2" fontId="0" fillId="0" borderId="0" xfId="17" applyNumberFormat="1" applyFont="1" applyFill="1" applyAlignment="1"/>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700;&#36947;&#23376;&#32993;&#21516;&#22303;&#22320;&#31199;&#37329;1207-&#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5">
          <cell r="V35">
            <v>1.95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946</v>
      </c>
      <c r="B1" s="1223" t="s">
        <v>1025</v>
      </c>
    </row>
    <row r="2" spans="1:2" s="1228" customFormat="1" ht="15" thickTop="1">
      <c r="A2" s="1226" t="s">
        <v>947</v>
      </c>
      <c r="B2" s="1227" t="str">
        <f>'预评函-封皮'!B37:I37</f>
        <v>北京市房地产市场价值预评估</v>
      </c>
    </row>
    <row r="3" spans="1:2">
      <c r="A3" s="1229" t="s">
        <v>948</v>
      </c>
      <c r="B3" s="1230">
        <f>'预评函-封皮'!B40</f>
        <v>0</v>
      </c>
    </row>
    <row r="4" spans="1:2">
      <c r="A4" s="1229" t="s">
        <v>949</v>
      </c>
      <c r="B4" s="1230" t="str">
        <f>'预评函-封皮'!B46</f>
        <v>（注册号：0)、（注册号：0)</v>
      </c>
    </row>
    <row r="5" spans="1:2" s="1225" customFormat="1" ht="15" thickBot="1">
      <c r="A5" s="1232" t="s">
        <v>950</v>
      </c>
      <c r="B5" s="1233" t="str">
        <f>'预评函-封皮'!B49</f>
        <v>康正预评字号</v>
      </c>
    </row>
    <row r="6" spans="1:2" s="1228" customFormat="1" ht="15" thickTop="1">
      <c r="A6" s="1226" t="s">
        <v>951</v>
      </c>
      <c r="B6" s="1227" t="str">
        <f>'预评函-1'!A4</f>
        <v>受贵公司委托，我公司对北京市房地产市场价值进行了预评估。</v>
      </c>
    </row>
    <row r="7" spans="1:2">
      <c r="A7" s="1229" t="s">
        <v>991</v>
      </c>
      <c r="B7" s="1230" t="str">
        <f>'预评函-1'!A7</f>
        <v>估价对象为北京市房地产，为所有。根据《国有土地使用证》[]，估价对象（分摊）出让国有建设用地使用权面积为8778.75平方米，建筑面积为11320.8平方米。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估价对象为北京市房地产,属开发建设的，该项目尚在开发建设中。根据《国有土地使用证》[]，估价对象（分摊）出让国有建设用地使用权面积为8778.75平方米，规划建筑面积为11320.8平方米。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2022年10月14日（评估专业人员实地查勘之日）</v>
      </c>
    </row>
    <row r="13" spans="1:2">
      <c r="A13" s="1229" t="s">
        <v>954</v>
      </c>
      <c r="B13" s="1230"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5" thickBot="1">
      <c r="A18" s="1232" t="s">
        <v>959</v>
      </c>
      <c r="B18" s="1233" t="str">
        <f>'预评函-1'!A24</f>
        <v>本次评估采用的主估价方法为比较法和成本法。</v>
      </c>
    </row>
    <row r="19" spans="1:2" s="1228" customFormat="1" ht="15"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t="e">
        <f ca="1">'预评函-2'!D5</f>
        <v>#REF!</v>
      </c>
    </row>
    <row r="21" spans="1:2">
      <c r="A21" s="1229" t="s">
        <v>962</v>
      </c>
      <c r="B21" s="1230" t="e">
        <f ca="1">'预评函-2'!D7</f>
        <v>#REF!</v>
      </c>
    </row>
    <row r="22" spans="1:2">
      <c r="A22" s="1229" t="s">
        <v>963</v>
      </c>
      <c r="B22" s="1230" t="e">
        <f ca="1">'预评函-2'!D6</f>
        <v>#REF!</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t="e">
        <f ca="1">'预评函-2'!D13</f>
        <v>#REF!</v>
      </c>
    </row>
    <row r="31" spans="1:2">
      <c r="A31" s="1229" t="s">
        <v>1001</v>
      </c>
      <c r="B31" s="1230" t="e">
        <f ca="1">'预评函-2'!D15</f>
        <v>#REF!</v>
      </c>
    </row>
    <row r="32" spans="1:2">
      <c r="A32" s="1229" t="s">
        <v>968</v>
      </c>
      <c r="B32" s="1230" t="e">
        <f ca="1">'预评函-2'!D14</f>
        <v>#REF!</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北京市房地产</v>
      </c>
    </row>
    <row r="42" spans="1:2">
      <c r="A42" s="1229" t="s">
        <v>1015</v>
      </c>
      <c r="B42" s="1230" t="str">
        <f>'预评函-3'!B2</f>
        <v>建筑面积</v>
      </c>
    </row>
    <row r="43" spans="1:2">
      <c r="A43" s="1229" t="s">
        <v>1016</v>
      </c>
      <c r="B43" s="1230">
        <f>'预评函-3'!B4</f>
        <v>11320.8</v>
      </c>
    </row>
    <row r="44" spans="1:2">
      <c r="A44" s="1229" t="s">
        <v>1000</v>
      </c>
      <c r="B44" s="1230" t="str">
        <f>'预评函-3'!C2</f>
        <v>(分摊)土地面积</v>
      </c>
    </row>
    <row r="45" spans="1:2">
      <c r="A45" s="1229" t="s">
        <v>972</v>
      </c>
      <c r="B45" s="1230">
        <f>'预评函-3'!C4</f>
        <v>8778.75</v>
      </c>
    </row>
    <row r="46" spans="1:2">
      <c r="A46" s="1229" t="s">
        <v>998</v>
      </c>
      <c r="B46" s="1230" t="str">
        <f>'预评函-3'!D2</f>
        <v>出让国有建设用地使用权价值</v>
      </c>
    </row>
    <row r="47" spans="1:2">
      <c r="A47" s="1229" t="s">
        <v>973</v>
      </c>
      <c r="B47" s="1230" t="e">
        <f ca="1">'预评函-3'!D4</f>
        <v>#REF!</v>
      </c>
    </row>
    <row r="48" spans="1:2">
      <c r="A48" s="1229" t="s">
        <v>974</v>
      </c>
      <c r="B48" s="1230" t="e">
        <f ca="1">'预评函-3'!E4</f>
        <v>#REF!</v>
      </c>
    </row>
    <row r="49" spans="1:2">
      <c r="A49" s="1229" t="s">
        <v>975</v>
      </c>
      <c r="B49" s="1230" t="e">
        <f ca="1">'预评函-3'!D5</f>
        <v>#REF!</v>
      </c>
    </row>
    <row r="50" spans="1:2">
      <c r="A50" s="1229" t="s">
        <v>999</v>
      </c>
      <c r="B50" s="1230" t="str">
        <f>'预评函-3'!F2</f>
        <v>在建建筑物价值</v>
      </c>
    </row>
    <row r="51" spans="1:2">
      <c r="A51" s="1229" t="s">
        <v>976</v>
      </c>
      <c r="B51" s="1230" t="e">
        <f ca="1">'预评函-3'!F4</f>
        <v>#REF!</v>
      </c>
    </row>
    <row r="52" spans="1:2">
      <c r="A52" s="1229" t="s">
        <v>977</v>
      </c>
      <c r="B52" s="1230" t="e">
        <f ca="1">'预评函-3'!G4</f>
        <v>#REF!</v>
      </c>
    </row>
    <row r="53" spans="1:2">
      <c r="A53" s="1229" t="s">
        <v>1005</v>
      </c>
      <c r="B53" s="1230" t="e">
        <f ca="1">'预评函-3'!F5</f>
        <v>#REF!</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5" thickBot="1">
      <c r="A57" s="1232" t="s">
        <v>1024</v>
      </c>
      <c r="B57" s="1233" t="str">
        <f>'预评函-3'!A6</f>
        <v/>
      </c>
    </row>
    <row r="58" spans="1:2" s="1228" customFormat="1" ht="15"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5" thickBot="1">
      <c r="A69" s="1232" t="s">
        <v>986</v>
      </c>
      <c r="B69" s="1234">
        <f>'预评函-4'!C31</f>
        <v>42551</v>
      </c>
    </row>
    <row r="70" spans="1:2" ht="15" thickTop="1">
      <c r="A70" s="1235" t="s">
        <v>987</v>
      </c>
      <c r="B70" s="1236">
        <f>'预评函-4'!A4</f>
        <v>0</v>
      </c>
    </row>
    <row r="71" spans="1:2">
      <c r="A71" s="1229" t="s">
        <v>988</v>
      </c>
      <c r="B71" s="1230">
        <f>'预评函-4'!B4</f>
        <v>0</v>
      </c>
    </row>
    <row r="72" spans="1:2">
      <c r="A72" s="1229" t="s">
        <v>989</v>
      </c>
      <c r="B72" s="1237">
        <f>'预评函-4'!A5</f>
        <v>0</v>
      </c>
    </row>
    <row r="73" spans="1:2" s="1225" customFormat="1" ht="15" thickBot="1">
      <c r="A73" s="1232" t="s">
        <v>990</v>
      </c>
      <c r="B73" s="1233">
        <f>'预评函-4'!B5</f>
        <v>0</v>
      </c>
    </row>
    <row r="74" spans="1:2" ht="1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78" customWidth="1"/>
    <col min="2" max="2" width="23.125" style="1535" customWidth="1"/>
    <col min="3" max="3" width="13" style="1575" customWidth="1"/>
    <col min="4" max="4" width="5.8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2795</v>
      </c>
      <c r="C17" s="1572"/>
    </row>
    <row r="18" spans="1:3">
      <c r="A18" s="1571" t="s">
        <v>1491</v>
      </c>
      <c r="B18" s="1571" t="s">
        <v>2940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35"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577" t="s">
        <v>651</v>
      </c>
      <c r="C54" s="1575" t="s">
        <v>1008</v>
      </c>
    </row>
    <row r="55" spans="1:4">
      <c r="A55" s="3035"/>
      <c r="B55" s="1577" t="s">
        <v>652</v>
      </c>
      <c r="C55" s="1575" t="s">
        <v>1009</v>
      </c>
    </row>
    <row r="56" spans="1:4">
      <c r="A56" s="3035"/>
      <c r="B56" s="1577" t="s">
        <v>653</v>
      </c>
      <c r="C56" s="1575" t="s">
        <v>1013</v>
      </c>
    </row>
    <row r="57" spans="1:4">
      <c r="A57" s="3035"/>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875" style="1748" customWidth="1"/>
    <col min="8" max="8" width="10" style="1748" customWidth="1"/>
    <col min="9" max="9" width="11.125" style="1598" customWidth="1"/>
    <col min="10" max="10" width="10" style="1746" customWidth="1"/>
    <col min="11" max="11" width="10" style="2579" customWidth="1"/>
    <col min="12" max="13" width="10" style="2580"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2670</v>
      </c>
      <c r="B1" s="3036" t="str">
        <f>IF(B10="北京市","北京市",C10)&amp;F10&amp;IF(结果表!G1="在建","出让国有建设用地使用权及在建建筑物",IF(结果表!G1="土地","出让国有建设用地使用权",))&amp;B9&amp;"预评估"</f>
        <v>北京市房地产市场价值预评估</v>
      </c>
      <c r="C1" s="3037"/>
      <c r="D1" s="3037"/>
      <c r="E1" s="3037"/>
      <c r="F1" s="3037"/>
      <c r="G1" s="3037"/>
      <c r="H1" s="3037"/>
      <c r="I1" s="3038"/>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c r="A2" s="2344" t="s">
        <v>2671</v>
      </c>
      <c r="B2" s="127"/>
      <c r="D2" s="2614"/>
      <c r="E2" s="2607"/>
      <c r="F2" s="2607"/>
      <c r="G2" s="2608"/>
      <c r="H2" s="2608"/>
      <c r="I2" s="2608"/>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2672</v>
      </c>
      <c r="B3" s="2347">
        <v>44848</v>
      </c>
      <c r="C3" s="2348" t="s">
        <v>2673</v>
      </c>
      <c r="D3" s="2347">
        <f>B3</f>
        <v>44848</v>
      </c>
      <c r="E3" s="2608"/>
      <c r="F3" s="2608"/>
      <c r="G3" s="2608"/>
      <c r="H3" s="2608"/>
      <c r="I3" s="2608"/>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2674</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2675</v>
      </c>
      <c r="B5" s="2353"/>
      <c r="C5" s="2354"/>
      <c r="D5" s="2355"/>
      <c r="E5" s="2608"/>
      <c r="F5" s="2608"/>
      <c r="G5" s="2608"/>
      <c r="H5" s="2608"/>
      <c r="I5" s="2608"/>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2676</v>
      </c>
      <c r="B6" s="2357"/>
      <c r="C6" s="2358"/>
      <c r="D6" s="2359"/>
      <c r="E6" s="2607"/>
      <c r="F6" s="2608"/>
      <c r="G6" s="2608"/>
      <c r="H6" s="2608"/>
      <c r="I6" s="2608"/>
      <c r="J6" s="2410"/>
      <c r="K6" s="2566" t="str">
        <f>IF(COUNTIF(B6,"*上海银行*"),"上海银行","")</f>
        <v/>
      </c>
      <c r="L6" s="2564"/>
      <c r="M6" s="2564"/>
      <c r="N6" s="2410"/>
      <c r="O6" s="1800"/>
      <c r="P6" s="2410"/>
      <c r="Q6" s="2410"/>
      <c r="R6" s="2410"/>
    </row>
    <row r="7" spans="1:28">
      <c r="A7" s="2356" t="s">
        <v>2677</v>
      </c>
      <c r="B7" s="2360"/>
      <c r="C7" s="2358"/>
      <c r="D7" s="2359"/>
      <c r="E7" s="2607"/>
      <c r="F7" s="2608"/>
      <c r="G7" s="2608"/>
      <c r="H7" s="2608"/>
      <c r="I7" s="2608"/>
      <c r="J7" s="2410"/>
      <c r="K7" s="2567"/>
      <c r="L7" s="2564"/>
      <c r="M7" s="2564"/>
      <c r="N7" s="2410"/>
      <c r="O7" s="1800"/>
      <c r="P7" s="2410"/>
      <c r="Q7" s="2410"/>
      <c r="R7" s="2410"/>
    </row>
    <row r="8" spans="1:28">
      <c r="A8" s="2361" t="s">
        <v>2678</v>
      </c>
      <c r="B8" s="2362" t="s">
        <v>3181</v>
      </c>
      <c r="C8" s="2363"/>
      <c r="D8" s="3039" t="s">
        <v>2679</v>
      </c>
      <c r="E8" s="2364"/>
      <c r="F8" s="2365"/>
      <c r="G8" s="2608"/>
      <c r="H8" s="2608"/>
      <c r="I8" s="2608"/>
      <c r="J8" s="2410"/>
      <c r="K8" s="2565"/>
      <c r="L8" s="2564"/>
      <c r="M8" s="2564"/>
      <c r="N8" s="2410"/>
      <c r="O8" s="1800"/>
      <c r="P8" s="2410"/>
      <c r="Q8" s="2410"/>
      <c r="R8" s="2410"/>
    </row>
    <row r="9" spans="1:28" ht="13.5" thickBot="1">
      <c r="A9" s="2366" t="s">
        <v>2680</v>
      </c>
      <c r="B9" s="2367" t="s">
        <v>3182</v>
      </c>
      <c r="C9" s="2368"/>
      <c r="D9" s="3040"/>
      <c r="E9" s="2367"/>
      <c r="F9" s="2369"/>
      <c r="G9" s="2609"/>
      <c r="H9" s="2609"/>
      <c r="I9" s="2609"/>
      <c r="J9" s="2410"/>
      <c r="K9" s="2567"/>
      <c r="L9" s="2564"/>
      <c r="M9" s="2564"/>
      <c r="N9" s="2410"/>
      <c r="O9" s="1800"/>
      <c r="P9" s="2410"/>
      <c r="Q9" s="2410"/>
      <c r="R9" s="2410"/>
    </row>
    <row r="10" spans="1:28" ht="13.5" thickTop="1">
      <c r="A10" s="2370" t="s">
        <v>2681</v>
      </c>
      <c r="B10" s="2371" t="s">
        <v>3177</v>
      </c>
      <c r="C10" s="2372"/>
      <c r="D10" s="2355"/>
      <c r="E10" s="2373" t="s">
        <v>2682</v>
      </c>
      <c r="F10" s="2610"/>
      <c r="G10" s="2611"/>
      <c r="H10" s="2612"/>
      <c r="I10" s="2613"/>
      <c r="J10" s="2410"/>
      <c r="K10" s="2567"/>
      <c r="L10" s="2564"/>
      <c r="M10" s="2564"/>
      <c r="N10" s="2410"/>
      <c r="O10" s="1800"/>
      <c r="P10" s="2410"/>
      <c r="Q10" s="2410"/>
      <c r="R10" s="2410"/>
    </row>
    <row r="11" spans="1:28">
      <c r="A11" s="2374" t="s">
        <v>2683</v>
      </c>
      <c r="B11" s="2375" t="s">
        <v>3178</v>
      </c>
      <c r="C11" s="2376"/>
      <c r="D11" s="2377"/>
      <c r="E11" s="2344"/>
      <c r="F11" s="2344"/>
      <c r="G11" s="2344"/>
      <c r="H11" s="2344"/>
      <c r="I11" s="2344"/>
      <c r="J11" s="2410"/>
      <c r="K11" s="2567"/>
      <c r="L11" s="2564"/>
      <c r="M11" s="2564"/>
      <c r="N11" s="2410"/>
      <c r="O11" s="1800"/>
      <c r="P11" s="2410"/>
      <c r="Q11" s="2410"/>
      <c r="R11" s="2410"/>
    </row>
    <row r="12" spans="1:28">
      <c r="A12" s="2378" t="s">
        <v>2684</v>
      </c>
      <c r="B12" s="2375" t="s">
        <v>3220</v>
      </c>
      <c r="C12" s="321" t="s">
        <v>2685</v>
      </c>
      <c r="D12" s="2379" t="s">
        <v>2686</v>
      </c>
      <c r="E12" s="2379" t="s">
        <v>2687</v>
      </c>
      <c r="F12" s="2379" t="s">
        <v>2688</v>
      </c>
      <c r="G12" s="2379" t="s">
        <v>2689</v>
      </c>
      <c r="H12" s="2379" t="s">
        <v>2690</v>
      </c>
      <c r="I12" s="2379" t="s">
        <v>2691</v>
      </c>
      <c r="J12" s="2410"/>
      <c r="K12" s="2567"/>
      <c r="L12" s="2564"/>
      <c r="M12" s="2564"/>
      <c r="N12" s="2410"/>
      <c r="O12" s="1800"/>
      <c r="P12" s="2410"/>
      <c r="Q12" s="2410"/>
      <c r="R12" s="2410"/>
    </row>
    <row r="13" spans="1:28">
      <c r="A13" s="1126"/>
      <c r="B13" s="2380"/>
      <c r="C13" s="2381" t="s">
        <v>2692</v>
      </c>
      <c r="D13" s="888"/>
      <c r="E13" s="888"/>
      <c r="F13" s="888">
        <v>54556</v>
      </c>
      <c r="G13" s="888"/>
      <c r="H13" s="888"/>
      <c r="I13" s="888"/>
      <c r="J13" s="2410"/>
      <c r="K13" s="2567"/>
      <c r="L13" s="2564"/>
      <c r="M13" s="2564"/>
      <c r="N13" s="2410"/>
      <c r="O13" s="1800"/>
      <c r="P13" s="2410"/>
      <c r="Q13" s="2410"/>
      <c r="R13" s="2410"/>
    </row>
    <row r="14" spans="1:28">
      <c r="A14" s="1126"/>
      <c r="B14" s="2380"/>
      <c r="C14" s="2381" t="s">
        <v>2693</v>
      </c>
      <c r="D14" s="2382"/>
      <c r="E14" s="2382"/>
      <c r="F14" s="2382">
        <v>50</v>
      </c>
      <c r="G14" s="2382"/>
      <c r="H14" s="2382"/>
      <c r="I14" s="2382"/>
      <c r="J14" s="2410"/>
      <c r="K14" s="2568"/>
      <c r="L14" s="2564"/>
      <c r="M14" s="2564"/>
      <c r="N14" s="2410"/>
      <c r="O14" s="1800"/>
      <c r="P14" s="2410"/>
      <c r="Q14" s="2410"/>
      <c r="R14" s="2410"/>
    </row>
    <row r="15" spans="1:28">
      <c r="A15" s="318"/>
      <c r="B15" s="2383"/>
      <c r="C15" s="2384" t="s">
        <v>2694</v>
      </c>
      <c r="D15" s="2385" t="str">
        <f>IF(B12="出让",IF(D13="","",ROUNDDOWN(MIN((D13-$D$3)/365,D14),2)),D14)</f>
        <v/>
      </c>
      <c r="E15" s="2385" t="str">
        <f>IF(B12="出让",IF(E13="","",ROUNDDOWN(MIN((E13-$D$3)/365,E14),2)),E14)</f>
        <v/>
      </c>
      <c r="F15" s="2385">
        <f>IF(B12="出让",IF(F13="","",ROUNDDOWN(MIN((F13-$D$3)/365,F14),2)),F14)</f>
        <v>26.59</v>
      </c>
      <c r="G15" s="2385" t="str">
        <f>IF(B12="出让",IF(G13="","",ROUNDDOWN(MIN((G13-$D$3)/365,G14),2)),G14)</f>
        <v/>
      </c>
      <c r="H15" s="2385" t="str">
        <f>IF(B12="出让",IF(H13="","",ROUNDDOWN(MIN((H13-$D$3)/365,H14),2)),H14)</f>
        <v/>
      </c>
      <c r="I15" s="2385" t="str">
        <f>IF(B12="出让",IF(I13="","",ROUNDDOWN(MIN((I13-$D$3)/365,I14),2)),I14)</f>
        <v/>
      </c>
      <c r="J15" s="2410"/>
      <c r="K15" s="2569"/>
      <c r="L15" s="1800"/>
      <c r="M15" s="1800"/>
      <c r="N15" s="2410"/>
      <c r="O15" s="1800"/>
      <c r="P15" s="2410"/>
      <c r="Q15" s="2410"/>
      <c r="R15" s="2410"/>
    </row>
    <row r="16" spans="1:28">
      <c r="A16" s="2373" t="s">
        <v>2695</v>
      </c>
      <c r="B16" s="3046"/>
      <c r="C16" s="3047"/>
      <c r="D16" s="3048"/>
      <c r="E16" s="2386" t="s">
        <v>2696</v>
      </c>
      <c r="F16" s="3049"/>
      <c r="G16" s="3050"/>
      <c r="H16" s="3050"/>
      <c r="I16" s="3051"/>
      <c r="J16" s="2410"/>
      <c r="K16" s="2569"/>
      <c r="L16" s="1800"/>
      <c r="M16" s="1800"/>
      <c r="N16" s="2410"/>
      <c r="O16" s="1800"/>
      <c r="P16" s="2410"/>
      <c r="Q16" s="2410"/>
      <c r="R16" s="2410"/>
    </row>
    <row r="17" spans="1:28">
      <c r="A17" s="311" t="s">
        <v>2697</v>
      </c>
      <c r="B17" s="300" t="s">
        <v>2698</v>
      </c>
      <c r="C17" s="11">
        <f>'数据-汇总表'!E3</f>
        <v>11320.8</v>
      </c>
      <c r="D17" s="1385" t="s">
        <v>2699</v>
      </c>
      <c r="E17" s="3052" t="s">
        <v>2700</v>
      </c>
      <c r="F17" s="3053"/>
      <c r="G17" s="3053"/>
      <c r="H17" s="3053"/>
      <c r="I17" s="3054"/>
      <c r="J17" s="2410"/>
      <c r="K17" s="2570"/>
      <c r="L17" s="1800"/>
      <c r="M17" s="1800"/>
      <c r="N17" s="2410"/>
      <c r="O17" s="1800"/>
      <c r="P17" s="2410"/>
      <c r="Q17" s="2410"/>
      <c r="R17" s="2410"/>
      <c r="S17" s="2410"/>
      <c r="T17" s="2410"/>
      <c r="U17" s="2410"/>
      <c r="V17" s="2410"/>
    </row>
    <row r="18" spans="1:28" ht="24.75" thickBot="1">
      <c r="A18" s="2387" t="s">
        <v>2701</v>
      </c>
      <c r="B18" s="1135" t="s">
        <v>2702</v>
      </c>
      <c r="C18" s="2388">
        <f>'数据-汇总表'!D3</f>
        <v>8778.75</v>
      </c>
      <c r="D18" s="1137" t="s">
        <v>2703</v>
      </c>
      <c r="E18" s="3055" t="s">
        <v>2704</v>
      </c>
      <c r="F18" s="3056"/>
      <c r="G18" s="3056"/>
      <c r="H18" s="3056"/>
      <c r="I18" s="3057"/>
      <c r="J18" s="2410"/>
      <c r="K18" s="2570"/>
      <c r="L18" s="1800"/>
      <c r="M18" s="1800"/>
      <c r="N18" s="2410"/>
      <c r="O18" s="1800"/>
      <c r="P18" s="2410"/>
      <c r="Q18" s="2410"/>
      <c r="R18" s="2410"/>
      <c r="S18" s="2410"/>
      <c r="T18" s="2410"/>
      <c r="U18" s="2410"/>
      <c r="V18" s="2410"/>
    </row>
    <row r="19" spans="1:28" ht="37.5" thickTop="1" thickBot="1">
      <c r="A19" s="325" t="s">
        <v>1500</v>
      </c>
      <c r="B19" s="305" t="s">
        <v>2705</v>
      </c>
      <c r="C19" s="1585"/>
      <c r="D19" s="1586" t="s">
        <v>2706</v>
      </c>
      <c r="E19" s="1587"/>
      <c r="F19" s="1588" t="str">
        <f>IF(AND(C19="是",E19="否"),"是否提供他项权证或相关说明","")</f>
        <v/>
      </c>
      <c r="G19" s="1589"/>
      <c r="H19" s="2608"/>
      <c r="I19" s="2608"/>
      <c r="J19" s="2410"/>
      <c r="K19" s="2567"/>
      <c r="L19" s="2564"/>
      <c r="M19" s="2564"/>
      <c r="N19" s="2410"/>
      <c r="O19" s="1800"/>
      <c r="P19" s="2410"/>
      <c r="Q19" s="2410"/>
      <c r="R19" s="2410"/>
      <c r="S19" s="2410"/>
      <c r="T19" s="2410"/>
      <c r="U19" s="2410"/>
      <c r="V19" s="2410"/>
    </row>
    <row r="20" spans="1:28">
      <c r="A20" s="2583" t="s">
        <v>2707</v>
      </c>
      <c r="B20" s="3042" t="s">
        <v>2708</v>
      </c>
      <c r="C20" s="3043"/>
      <c r="D20" s="3044" t="s">
        <v>2709</v>
      </c>
      <c r="E20" s="3045"/>
      <c r="F20" s="2596" t="s">
        <v>1501</v>
      </c>
      <c r="G20" s="2608"/>
      <c r="H20" s="2608"/>
      <c r="I20" s="2608"/>
      <c r="J20" s="2410"/>
      <c r="K20" s="3041" t="s">
        <v>2710</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4.75" thickBot="1">
      <c r="A21" s="2583"/>
      <c r="B21" s="2584" t="s">
        <v>2711</v>
      </c>
      <c r="C21" s="2461" t="s">
        <v>1502</v>
      </c>
      <c r="D21" s="1590" t="s">
        <v>2712</v>
      </c>
      <c r="E21" s="2585" t="s">
        <v>1502</v>
      </c>
      <c r="F21" s="2597"/>
      <c r="G21" s="2608"/>
      <c r="H21" s="2608"/>
      <c r="I21" s="2608"/>
      <c r="J21" s="2410"/>
      <c r="K21" s="3041"/>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4.75" thickBot="1">
      <c r="A22" s="2583"/>
      <c r="B22" s="2586" t="s">
        <v>2713</v>
      </c>
      <c r="C22" s="2461" t="s">
        <v>1503</v>
      </c>
      <c r="D22" s="2608"/>
      <c r="E22" s="2608"/>
      <c r="F22" s="2608"/>
      <c r="G22" s="2608"/>
      <c r="H22" s="2608"/>
      <c r="I22" s="2608"/>
      <c r="J22" s="2410"/>
      <c r="K22" s="3041"/>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7" t="s">
        <v>2714</v>
      </c>
      <c r="B23" s="2458" t="s">
        <v>2715</v>
      </c>
      <c r="C23" s="2588"/>
      <c r="D23" s="2589" t="s">
        <v>2715</v>
      </c>
      <c r="E23" s="2590"/>
      <c r="F23" s="2608"/>
      <c r="G23" s="2608"/>
      <c r="H23" s="2608"/>
      <c r="I23" s="2608"/>
      <c r="J23" s="2410"/>
      <c r="K23" s="2566"/>
      <c r="L23" s="126"/>
      <c r="M23" s="2564"/>
      <c r="N23" s="2410"/>
      <c r="O23" s="1800"/>
      <c r="P23" s="2410"/>
      <c r="Q23" s="2410"/>
      <c r="R23" s="2410"/>
      <c r="S23" s="2410"/>
      <c r="T23" s="2410"/>
      <c r="U23" s="2410"/>
      <c r="V23" s="2410"/>
    </row>
    <row r="24" spans="1:28">
      <c r="A24" s="2587"/>
      <c r="B24" s="2458" t="s">
        <v>1504</v>
      </c>
      <c r="C24" s="2436"/>
      <c r="D24" s="2587" t="s">
        <v>1504</v>
      </c>
      <c r="E24" s="2591"/>
      <c r="F24" s="2608"/>
      <c r="G24" s="2608"/>
      <c r="H24" s="2608"/>
      <c r="I24" s="2608"/>
      <c r="J24" s="2410"/>
      <c r="K24" s="2566"/>
      <c r="L24" s="126"/>
      <c r="M24" s="2564"/>
      <c r="N24" s="2410"/>
      <c r="O24" s="1800"/>
      <c r="P24" s="2410"/>
      <c r="Q24" s="2410"/>
      <c r="R24" s="2410"/>
      <c r="S24" s="2410"/>
      <c r="T24" s="2410"/>
      <c r="U24" s="2410"/>
      <c r="V24" s="2410"/>
    </row>
    <row r="25" spans="1:28">
      <c r="A25" s="2587"/>
      <c r="B25" s="2458" t="s">
        <v>1505</v>
      </c>
      <c r="C25" s="2436"/>
      <c r="D25" s="2587" t="s">
        <v>1505</v>
      </c>
      <c r="E25" s="2591"/>
      <c r="F25" s="2608"/>
      <c r="G25" s="2608"/>
      <c r="H25" s="2608"/>
      <c r="I25" s="2608"/>
      <c r="J25" s="2410"/>
      <c r="K25" s="2567"/>
      <c r="L25" s="2564"/>
      <c r="M25" s="2564"/>
      <c r="N25" s="2410"/>
      <c r="O25" s="1800"/>
      <c r="P25" s="2410"/>
      <c r="Q25" s="2410"/>
      <c r="R25" s="2410"/>
      <c r="S25" s="2410"/>
      <c r="T25" s="2410"/>
      <c r="U25" s="2410"/>
      <c r="V25" s="2410"/>
    </row>
    <row r="26" spans="1:28" ht="13.5" thickBot="1">
      <c r="A26" s="2592"/>
      <c r="B26" s="2593" t="s">
        <v>1506</v>
      </c>
      <c r="C26" s="2594"/>
      <c r="D26" s="2592" t="s">
        <v>1506</v>
      </c>
      <c r="E26" s="2595"/>
      <c r="F26" s="2609"/>
      <c r="G26" s="2609"/>
      <c r="H26" s="2609"/>
      <c r="I26" s="2609"/>
      <c r="J26" s="2410"/>
      <c r="K26" s="2567"/>
      <c r="L26" s="2564"/>
      <c r="M26" s="2564"/>
      <c r="N26" s="2410"/>
      <c r="O26" s="1800"/>
      <c r="P26" s="2410"/>
      <c r="Q26" s="2410"/>
      <c r="R26" s="2410"/>
      <c r="S26" s="2410"/>
      <c r="T26" s="2410"/>
      <c r="U26" s="2410"/>
      <c r="V26" s="2410"/>
    </row>
    <row r="27" spans="1:28" ht="13.5" thickTop="1">
      <c r="A27" s="3059" t="s">
        <v>2716</v>
      </c>
      <c r="B27" s="318" t="s">
        <v>2717</v>
      </c>
      <c r="C27" s="2389"/>
      <c r="D27" s="2390"/>
      <c r="E27" s="2608"/>
      <c r="F27" s="2608"/>
      <c r="G27" s="2608"/>
      <c r="H27" s="2608"/>
      <c r="I27" s="2608"/>
      <c r="J27" s="2410"/>
      <c r="K27" s="2569"/>
      <c r="L27" s="1800"/>
      <c r="M27" s="1800"/>
      <c r="N27" s="2410"/>
      <c r="O27" s="1800"/>
      <c r="P27" s="2410"/>
      <c r="Q27" s="2410"/>
      <c r="R27" s="2410"/>
      <c r="S27" s="2410"/>
      <c r="T27" s="2410"/>
      <c r="U27" s="2410"/>
      <c r="V27" s="2410"/>
    </row>
    <row r="28" spans="1:28">
      <c r="A28" s="3059"/>
      <c r="B28" s="300" t="s">
        <v>2718</v>
      </c>
      <c r="C28" s="2391"/>
      <c r="D28" s="2392"/>
      <c r="E28" s="2608"/>
      <c r="F28" s="2608"/>
      <c r="G28" s="2608"/>
      <c r="H28" s="2608"/>
      <c r="I28" s="2608"/>
      <c r="J28" s="2410"/>
      <c r="K28" s="2567"/>
      <c r="L28" s="2564"/>
      <c r="M28" s="2564"/>
      <c r="N28" s="2410"/>
      <c r="O28" s="1800"/>
      <c r="P28" s="2410"/>
      <c r="Q28" s="2410"/>
      <c r="R28" s="2410"/>
      <c r="S28" s="2410"/>
      <c r="T28" s="2410"/>
      <c r="U28" s="2410"/>
      <c r="V28" s="2410"/>
    </row>
    <row r="29" spans="1:28">
      <c r="A29" s="3059"/>
      <c r="B29" s="300" t="s">
        <v>2719</v>
      </c>
      <c r="C29" s="2393"/>
      <c r="D29" s="2394"/>
      <c r="E29" s="2608"/>
      <c r="F29" s="2608"/>
      <c r="G29" s="2608"/>
      <c r="H29" s="2608"/>
      <c r="I29" s="2608"/>
      <c r="J29" s="2410"/>
      <c r="K29" s="2567"/>
      <c r="L29" s="2564"/>
      <c r="M29" s="2564"/>
      <c r="N29" s="2410"/>
      <c r="O29" s="1800"/>
      <c r="P29" s="2410"/>
      <c r="Q29" s="2410"/>
      <c r="R29" s="2410"/>
      <c r="S29" s="2410"/>
      <c r="T29" s="2410"/>
      <c r="U29" s="2410"/>
      <c r="V29" s="2410"/>
    </row>
    <row r="30" spans="1:28">
      <c r="A30" s="3060"/>
      <c r="B30" s="300" t="s">
        <v>2720</v>
      </c>
      <c r="C30" s="3061"/>
      <c r="D30" s="3062"/>
      <c r="E30" s="2608"/>
      <c r="F30" s="2608"/>
      <c r="G30" s="2608"/>
      <c r="H30" s="2608"/>
      <c r="I30" s="2608"/>
      <c r="J30" s="2410"/>
      <c r="K30" s="2567"/>
      <c r="L30" s="2564"/>
      <c r="M30" s="2564"/>
      <c r="N30" s="2410"/>
      <c r="O30" s="1800"/>
      <c r="P30" s="2410"/>
      <c r="Q30" s="2410"/>
      <c r="R30" s="2410"/>
      <c r="S30" s="2410"/>
      <c r="T30" s="2410"/>
      <c r="U30" s="2410"/>
      <c r="V30" s="2410"/>
    </row>
    <row r="31" spans="1:28">
      <c r="A31" s="3063" t="s">
        <v>2721</v>
      </c>
      <c r="B31" s="2395"/>
      <c r="C31" s="15" t="str">
        <f>IF(B31="现房","成新及维护状况正常否",IF(B31="在建","工程状态是否正常",IF(B31="土地","是否闲置","-")))</f>
        <v>-</v>
      </c>
      <c r="D31" s="1410"/>
      <c r="E31" s="2396"/>
      <c r="F31" s="2608"/>
      <c r="G31" s="2608"/>
      <c r="H31" s="2608"/>
      <c r="I31" s="2608"/>
      <c r="J31" s="2410"/>
      <c r="K31" s="2566"/>
      <c r="L31" s="2564"/>
      <c r="M31" s="2564"/>
      <c r="N31" s="2410"/>
      <c r="O31" s="1800"/>
      <c r="P31" s="2410"/>
      <c r="Q31" s="2410"/>
      <c r="R31" s="2410"/>
      <c r="S31" s="2410"/>
      <c r="T31" s="2410"/>
      <c r="U31" s="2410"/>
      <c r="V31" s="2410"/>
    </row>
    <row r="32" spans="1:28">
      <c r="A32" s="3064"/>
      <c r="B32" s="2395"/>
      <c r="C32" s="15" t="str">
        <f>IF(B32="现房","成新及维护状况是否正常",IF(B32="在建","工程状态是否正常",IF(B32="土地","是否闲置","-")))</f>
        <v>-</v>
      </c>
      <c r="D32" s="1410"/>
      <c r="E32" s="2396"/>
      <c r="F32" s="2608"/>
      <c r="G32" s="2608"/>
      <c r="H32" s="2608"/>
      <c r="I32" s="2608"/>
      <c r="J32" s="2410"/>
      <c r="K32" s="2567"/>
      <c r="L32" s="2564"/>
      <c r="M32" s="2564"/>
      <c r="N32" s="2410"/>
      <c r="O32" s="1800"/>
      <c r="P32" s="2410"/>
      <c r="Q32" s="2410"/>
      <c r="R32" s="2410"/>
      <c r="S32" s="2410"/>
      <c r="T32" s="2410"/>
      <c r="U32" s="2410"/>
      <c r="V32" s="2410"/>
    </row>
    <row r="33" spans="1:30">
      <c r="A33" s="3064"/>
      <c r="B33" s="2398"/>
      <c r="C33" s="1608" t="str">
        <f>IF(B33="现房","成新及维护状况是否正常",IF(B33="在建","工程状态是否正常",IF(B33="土地","是否闲置","-")))</f>
        <v>-</v>
      </c>
      <c r="D33" s="1403"/>
      <c r="E33" s="2399"/>
      <c r="F33" s="2608"/>
      <c r="G33" s="2608"/>
      <c r="H33" s="2608"/>
      <c r="I33" s="2608"/>
      <c r="J33" s="2410"/>
      <c r="K33" s="2567"/>
      <c r="L33" s="2564"/>
      <c r="M33" s="2564"/>
      <c r="N33" s="2410"/>
      <c r="O33" s="1800"/>
      <c r="P33" s="2410"/>
      <c r="Q33" s="2410"/>
      <c r="R33" s="2410"/>
      <c r="S33" s="2410"/>
      <c r="T33" s="2410"/>
      <c r="U33" s="2410"/>
      <c r="V33" s="2410"/>
    </row>
    <row r="34" spans="1:30">
      <c r="A34" s="300" t="s">
        <v>2722</v>
      </c>
      <c r="B34" s="1977"/>
      <c r="C34" s="1977"/>
      <c r="D34" s="1977"/>
      <c r="E34" s="1977"/>
      <c r="F34" s="1977"/>
      <c r="G34" s="1977"/>
      <c r="H34" s="1977"/>
      <c r="I34" s="2608"/>
      <c r="J34" s="2410"/>
      <c r="K34" s="11">
        <f>COUNTIF(B34:H34,"——")</f>
        <v>0</v>
      </c>
      <c r="L34" s="321" t="s">
        <v>2723</v>
      </c>
      <c r="M34" s="321" t="s">
        <v>2724</v>
      </c>
      <c r="N34" s="321" t="s">
        <v>2725</v>
      </c>
      <c r="O34" s="321" t="s">
        <v>2726</v>
      </c>
      <c r="P34" s="321" t="s">
        <v>2727</v>
      </c>
      <c r="Q34" s="321" t="s">
        <v>2728</v>
      </c>
      <c r="R34" s="321" t="s">
        <v>2729</v>
      </c>
      <c r="S34" s="3058" t="s">
        <v>2730</v>
      </c>
      <c r="T34" s="2400" t="str">
        <f>NUMBERSTRING(7-K34,1)&amp;"通"</f>
        <v>七通</v>
      </c>
      <c r="U34" s="2410"/>
      <c r="V34" s="2410"/>
    </row>
    <row r="35" spans="1:30">
      <c r="A35" s="2401"/>
      <c r="B35" s="3058" t="s">
        <v>2731</v>
      </c>
      <c r="C35" s="3058"/>
      <c r="D35" s="3058"/>
      <c r="E35" s="3058"/>
      <c r="F35" s="11">
        <f>C10</f>
        <v>0</v>
      </c>
      <c r="G35" s="2608"/>
      <c r="H35" s="2608"/>
      <c r="I35" s="2608"/>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058"/>
      <c r="T35" s="143" t="str">
        <f>IF(T34="一通",L35,IF(T34="二通",M35,IF(T34="三通",N35,IF(T34="四通",O35,IF(T34="五通",P35,IF(T34="六通",Q35,R35))))))</f>
        <v>、、、、、、</v>
      </c>
      <c r="U35" s="2410"/>
      <c r="V35" s="2410"/>
    </row>
    <row r="36" spans="1:30" ht="24">
      <c r="A36" s="2345"/>
      <c r="B36" s="11" t="s">
        <v>2687</v>
      </c>
      <c r="C36" s="11" t="s">
        <v>2688</v>
      </c>
      <c r="D36" s="11" t="s">
        <v>2686</v>
      </c>
      <c r="E36" s="11" t="s">
        <v>2691</v>
      </c>
      <c r="F36" s="2963" t="s">
        <v>3180</v>
      </c>
      <c r="G36" s="2608"/>
      <c r="H36" s="2608"/>
      <c r="I36" s="2608"/>
      <c r="J36" s="2410"/>
      <c r="K36" s="2567"/>
      <c r="L36" s="2564"/>
      <c r="M36" s="2564"/>
      <c r="N36" s="2410"/>
      <c r="O36" s="1800"/>
      <c r="P36" s="2410"/>
      <c r="Q36" s="2410"/>
      <c r="R36" s="2410"/>
      <c r="S36" s="2410"/>
      <c r="T36" s="2410"/>
      <c r="U36" s="2410"/>
      <c r="V36" s="2410"/>
    </row>
    <row r="37" spans="1:30">
      <c r="A37" s="2581" t="s">
        <v>2732</v>
      </c>
      <c r="B37" s="2402"/>
      <c r="C37" s="2402"/>
      <c r="D37" s="2402"/>
      <c r="E37" s="2402"/>
      <c r="F37" s="2402" t="s">
        <v>441</v>
      </c>
      <c r="G37" s="2608"/>
      <c r="H37" s="2608"/>
      <c r="I37" s="2608"/>
      <c r="J37" s="2410"/>
      <c r="K37" s="2567"/>
      <c r="L37" s="2564"/>
      <c r="M37" s="2564"/>
      <c r="N37" s="2410"/>
      <c r="O37" s="1800"/>
      <c r="P37" s="2410"/>
      <c r="Q37" s="2410"/>
      <c r="R37" s="2410"/>
      <c r="S37" s="2410"/>
      <c r="T37" s="2410"/>
      <c r="U37" s="2410"/>
      <c r="V37" s="2410"/>
    </row>
    <row r="38" spans="1:30" ht="13.5" thickBot="1">
      <c r="A38" s="2582" t="s">
        <v>2733</v>
      </c>
      <c r="B38" s="2403"/>
      <c r="C38" s="2403"/>
      <c r="D38" s="2403"/>
      <c r="E38" s="2403"/>
      <c r="F38" s="2403" t="s">
        <v>3179</v>
      </c>
      <c r="G38" s="2609"/>
      <c r="H38" s="2609"/>
      <c r="I38" s="2609"/>
      <c r="J38" s="2410"/>
      <c r="K38" s="2567"/>
      <c r="L38" s="2564"/>
      <c r="M38" s="2564"/>
      <c r="N38" s="2410"/>
      <c r="O38" s="1800"/>
      <c r="P38" s="2410"/>
      <c r="Q38" s="2410"/>
      <c r="R38" s="2410"/>
      <c r="S38" s="2410"/>
      <c r="T38" s="2410"/>
      <c r="U38" s="2410"/>
      <c r="V38" s="2410"/>
    </row>
    <row r="39" spans="1:30" s="2406" customFormat="1" ht="14.25" thickTop="1" thickBot="1">
      <c r="A39" s="2404" t="s">
        <v>2734</v>
      </c>
      <c r="B39" s="2405"/>
      <c r="C39" s="2405"/>
      <c r="D39" s="2405"/>
      <c r="E39" s="2405"/>
      <c r="F39" s="2405"/>
      <c r="G39" s="2405"/>
      <c r="H39" s="2405"/>
      <c r="I39" s="2405"/>
      <c r="J39" s="2573"/>
      <c r="K39" s="2574"/>
      <c r="L39" s="2573"/>
      <c r="M39" s="2573"/>
      <c r="N39" s="2573"/>
      <c r="O39" s="2575"/>
      <c r="P39" s="2573"/>
      <c r="Q39" s="2573"/>
      <c r="R39" s="2573"/>
      <c r="S39" s="2573"/>
      <c r="T39" s="2573"/>
      <c r="U39" s="2573"/>
      <c r="V39" s="2573"/>
      <c r="W39" s="2576"/>
      <c r="X39" s="2576"/>
      <c r="Y39" s="2576"/>
      <c r="Z39" s="2576"/>
      <c r="AA39" s="2576"/>
      <c r="AB39" s="2576"/>
      <c r="AC39" s="2576"/>
      <c r="AD39" s="2576"/>
    </row>
    <row r="40" spans="1:30">
      <c r="A40" s="2344"/>
      <c r="B40" s="2344"/>
      <c r="C40" s="2344"/>
      <c r="D40" s="2344"/>
      <c r="E40" s="2344"/>
      <c r="F40" s="2344"/>
      <c r="G40" s="2344"/>
      <c r="H40" s="2344"/>
      <c r="I40" s="1596"/>
      <c r="J40" s="2410"/>
      <c r="K40" s="2566"/>
      <c r="L40" s="1800"/>
      <c r="M40" s="1800"/>
      <c r="N40" s="2410"/>
      <c r="O40" s="1800"/>
      <c r="P40" s="2410"/>
      <c r="Q40" s="2410"/>
      <c r="R40" s="2410"/>
      <c r="S40" s="2410"/>
      <c r="T40" s="2410"/>
      <c r="U40" s="2410"/>
      <c r="V40" s="2410"/>
    </row>
    <row r="41" spans="1:30">
      <c r="A41" s="2407" t="s">
        <v>2735</v>
      </c>
      <c r="B41" s="1757"/>
      <c r="C41" s="1410"/>
      <c r="D41" s="2344"/>
      <c r="E41" s="2344"/>
      <c r="F41" s="2344"/>
      <c r="G41" s="2344"/>
      <c r="H41" s="2344"/>
      <c r="I41" s="1596"/>
      <c r="J41" s="2410"/>
      <c r="K41" s="2567"/>
      <c r="L41" s="2564"/>
      <c r="M41" s="2564"/>
      <c r="N41" s="2410"/>
      <c r="O41" s="1800"/>
      <c r="P41" s="2410"/>
      <c r="Q41" s="2410"/>
      <c r="R41" s="2410"/>
      <c r="S41" s="2410"/>
      <c r="T41" s="2410"/>
      <c r="U41" s="2410"/>
      <c r="V41" s="2410"/>
    </row>
    <row r="42" spans="1:30" ht="25.5">
      <c r="A42" s="321" t="s">
        <v>2736</v>
      </c>
      <c r="B42" s="11" t="s">
        <v>2737</v>
      </c>
      <c r="C42" s="11" t="s">
        <v>2738</v>
      </c>
      <c r="D42" s="11" t="s">
        <v>2739</v>
      </c>
      <c r="E42" s="11" t="s">
        <v>2740</v>
      </c>
      <c r="F42" s="11" t="s">
        <v>2741</v>
      </c>
      <c r="G42" s="11" t="s">
        <v>2742</v>
      </c>
      <c r="H42" s="11" t="s">
        <v>2743</v>
      </c>
      <c r="I42" s="11" t="s">
        <v>2744</v>
      </c>
      <c r="J42" s="2577" t="s">
        <v>2745</v>
      </c>
      <c r="K42" s="2578" t="s">
        <v>2746</v>
      </c>
      <c r="L42" s="2578" t="s">
        <v>2747</v>
      </c>
      <c r="M42" s="2578" t="s">
        <v>2748</v>
      </c>
      <c r="N42" s="2571" t="s">
        <v>2749</v>
      </c>
      <c r="O42" s="2571" t="s">
        <v>2750</v>
      </c>
      <c r="P42" s="2571" t="s">
        <v>2751</v>
      </c>
      <c r="Q42" s="2572" t="s">
        <v>2752</v>
      </c>
      <c r="R42" s="2572" t="s">
        <v>2753</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0"/>
  <sheetViews>
    <sheetView tabSelected="1" topLeftCell="A4" workbookViewId="0">
      <selection activeCell="K28" sqref="K28"/>
    </sheetView>
  </sheetViews>
  <sheetFormatPr defaultColWidth="9" defaultRowHeight="13.5"/>
  <cols>
    <col min="1" max="1" width="7.125" style="2991" customWidth="1"/>
    <col min="2" max="3" width="12.125" style="2991" customWidth="1"/>
    <col min="4" max="7" width="9" style="1271"/>
    <col min="8" max="8" width="9.125" style="1271" bestFit="1" customWidth="1"/>
    <col min="9" max="9" width="10.5" style="1271" bestFit="1" customWidth="1"/>
    <col min="10" max="10" width="9" style="1271"/>
    <col min="11" max="11" width="12.5" style="1271" customWidth="1"/>
    <col min="12" max="15" width="9" style="1271"/>
    <col min="16" max="16" width="9.5" style="1271" bestFit="1" customWidth="1"/>
    <col min="17" max="16384" width="9" style="1271"/>
  </cols>
  <sheetData>
    <row r="1" spans="1:16" ht="15.75">
      <c r="A1" s="2983" t="s">
        <v>3221</v>
      </c>
      <c r="B1" s="2983" t="s">
        <v>3222</v>
      </c>
      <c r="C1" s="2983" t="s">
        <v>3223</v>
      </c>
      <c r="D1" s="2984" t="s">
        <v>3224</v>
      </c>
      <c r="E1" s="2984" t="s">
        <v>3225</v>
      </c>
      <c r="F1" s="2984" t="s">
        <v>3226</v>
      </c>
      <c r="G1" s="2984" t="s">
        <v>3227</v>
      </c>
      <c r="H1" s="2984" t="s">
        <v>3258</v>
      </c>
      <c r="I1" s="2984" t="s">
        <v>3272</v>
      </c>
    </row>
    <row r="2" spans="1:16" ht="15.75">
      <c r="A2" s="2983">
        <v>1</v>
      </c>
      <c r="B2" s="2983">
        <v>1</v>
      </c>
      <c r="C2" s="2983">
        <v>1</v>
      </c>
      <c r="D2" s="2985" t="s">
        <v>3228</v>
      </c>
      <c r="E2" s="2985">
        <v>1991</v>
      </c>
      <c r="F2" s="2985">
        <v>59.3</v>
      </c>
      <c r="G2" s="2985" t="s">
        <v>3229</v>
      </c>
      <c r="H2" s="2986">
        <f>ROUND(1-(1-2%)*(2022-E2)/50,3)</f>
        <v>0.39200000000000002</v>
      </c>
      <c r="I2" s="2985">
        <f>F2</f>
        <v>59.3</v>
      </c>
    </row>
    <row r="3" spans="1:16" ht="15.75">
      <c r="A3" s="2983">
        <v>2</v>
      </c>
      <c r="B3" s="2983">
        <v>1</v>
      </c>
      <c r="C3" s="2983">
        <v>1</v>
      </c>
      <c r="D3" s="2985" t="s">
        <v>3228</v>
      </c>
      <c r="E3" s="2985">
        <v>1989</v>
      </c>
      <c r="F3" s="2985">
        <v>61.7</v>
      </c>
      <c r="G3" s="2985" t="s">
        <v>3247</v>
      </c>
      <c r="H3" s="2986">
        <f t="shared" ref="H3:H6" si="0">ROUND(1-(1-2%)*(2022-E3)/50,3)</f>
        <v>0.35299999999999998</v>
      </c>
      <c r="I3" s="2985">
        <f>F3</f>
        <v>61.7</v>
      </c>
    </row>
    <row r="4" spans="1:16" ht="15.75">
      <c r="A4" s="2983">
        <v>3</v>
      </c>
      <c r="B4" s="2983">
        <v>1</v>
      </c>
      <c r="C4" s="2983">
        <v>1</v>
      </c>
      <c r="D4" s="2985" t="s">
        <v>3228</v>
      </c>
      <c r="E4" s="2985">
        <v>1989</v>
      </c>
      <c r="F4" s="2985">
        <v>112.6</v>
      </c>
      <c r="G4" s="2985" t="s">
        <v>3247</v>
      </c>
      <c r="H4" s="2986">
        <f t="shared" si="0"/>
        <v>0.35299999999999998</v>
      </c>
      <c r="I4" s="2985">
        <f>F4</f>
        <v>112.6</v>
      </c>
    </row>
    <row r="5" spans="1:16" ht="15.75">
      <c r="A5" s="3065">
        <v>4</v>
      </c>
      <c r="B5" s="3065">
        <v>4</v>
      </c>
      <c r="C5" s="2987">
        <v>4</v>
      </c>
      <c r="D5" s="2985" t="s">
        <v>3228</v>
      </c>
      <c r="E5" s="2985">
        <v>1994</v>
      </c>
      <c r="F5" s="2985">
        <v>472.1</v>
      </c>
      <c r="G5" s="2985" t="s">
        <v>3230</v>
      </c>
      <c r="H5" s="2986">
        <f t="shared" si="0"/>
        <v>0.45100000000000001</v>
      </c>
      <c r="I5" s="2985"/>
      <c r="J5" s="2984" t="s">
        <v>3248</v>
      </c>
      <c r="K5" s="2984">
        <f>SUM(F5,F6,F11,F12,F20,F21,F28,F29,F30,F31,F32)</f>
        <v>10227.700000000001</v>
      </c>
      <c r="L5" s="2988">
        <f>K5/(K5+K6)</f>
        <v>0.90344321956045526</v>
      </c>
    </row>
    <row r="6" spans="1:16" ht="15.75">
      <c r="A6" s="3066"/>
      <c r="B6" s="3066"/>
      <c r="C6" s="2987" t="s">
        <v>3231</v>
      </c>
      <c r="D6" s="2985" t="s">
        <v>3228</v>
      </c>
      <c r="E6" s="2985">
        <v>1989</v>
      </c>
      <c r="F6" s="2985">
        <v>1416.3</v>
      </c>
      <c r="G6" s="2985" t="s">
        <v>3230</v>
      </c>
      <c r="H6" s="2986">
        <f t="shared" si="0"/>
        <v>0.35299999999999998</v>
      </c>
      <c r="I6" s="2985">
        <f>F6/3</f>
        <v>472.09999999999997</v>
      </c>
      <c r="J6" s="2984" t="s">
        <v>3249</v>
      </c>
      <c r="K6" s="2984">
        <f>F35-K5-K7</f>
        <v>1093.0999999999979</v>
      </c>
    </row>
    <row r="7" spans="1:16" ht="15.75">
      <c r="A7" s="2983">
        <v>5</v>
      </c>
      <c r="B7" s="2983">
        <v>1</v>
      </c>
      <c r="C7" s="2983">
        <v>1</v>
      </c>
      <c r="D7" s="2985" t="s">
        <v>3228</v>
      </c>
      <c r="E7" s="2985">
        <v>1989</v>
      </c>
      <c r="F7" s="2985">
        <v>158.19999999999999</v>
      </c>
      <c r="G7" s="2985" t="s">
        <v>3247</v>
      </c>
      <c r="H7" s="2986">
        <f t="shared" ref="H7:H13" si="1">ROUND(1-(1-2%)*(2022-E7)/50,3)</f>
        <v>0.35299999999999998</v>
      </c>
      <c r="I7" s="2985">
        <v>158.19999999999999</v>
      </c>
      <c r="J7" s="2984" t="s">
        <v>3250</v>
      </c>
      <c r="K7" s="2984">
        <f>SUM(F22,F23,F24,F25)</f>
        <v>101.8</v>
      </c>
    </row>
    <row r="8" spans="1:16" ht="15.75">
      <c r="A8" s="2983">
        <v>6</v>
      </c>
      <c r="B8" s="2983">
        <v>1</v>
      </c>
      <c r="C8" s="2983">
        <v>1</v>
      </c>
      <c r="D8" s="2985" t="s">
        <v>3228</v>
      </c>
      <c r="E8" s="2985">
        <v>1991</v>
      </c>
      <c r="F8" s="2985">
        <v>17.100000000000001</v>
      </c>
      <c r="G8" s="2985" t="s">
        <v>3247</v>
      </c>
      <c r="H8" s="2986">
        <f t="shared" si="1"/>
        <v>0.39200000000000002</v>
      </c>
      <c r="I8" s="2985">
        <v>17.100000000000001</v>
      </c>
      <c r="J8" s="2984" t="s">
        <v>3251</v>
      </c>
      <c r="K8" s="2984">
        <f>SUM(K5:K7)</f>
        <v>11422.599999999999</v>
      </c>
    </row>
    <row r="9" spans="1:16" ht="15.75">
      <c r="A9" s="2983">
        <v>7</v>
      </c>
      <c r="B9" s="2983">
        <v>1</v>
      </c>
      <c r="C9" s="2983">
        <v>1</v>
      </c>
      <c r="D9" s="2985" t="s">
        <v>3228</v>
      </c>
      <c r="E9" s="2985">
        <v>1992</v>
      </c>
      <c r="F9" s="2985">
        <v>144.30000000000001</v>
      </c>
      <c r="G9" s="2985" t="s">
        <v>3247</v>
      </c>
      <c r="H9" s="2986">
        <f t="shared" si="1"/>
        <v>0.41199999999999998</v>
      </c>
      <c r="I9" s="2985">
        <v>144.30000000000001</v>
      </c>
    </row>
    <row r="10" spans="1:16" ht="15.75">
      <c r="A10" s="2983">
        <v>8</v>
      </c>
      <c r="B10" s="2983">
        <v>1</v>
      </c>
      <c r="C10" s="2983">
        <v>1</v>
      </c>
      <c r="D10" s="2985" t="s">
        <v>3228</v>
      </c>
      <c r="E10" s="2985">
        <v>1992</v>
      </c>
      <c r="F10" s="2985">
        <v>9.5</v>
      </c>
      <c r="G10" s="2985" t="s">
        <v>3247</v>
      </c>
      <c r="H10" s="2986">
        <f t="shared" si="1"/>
        <v>0.41199999999999998</v>
      </c>
      <c r="I10" s="2985">
        <v>9.5</v>
      </c>
    </row>
    <row r="11" spans="1:16" ht="15.75">
      <c r="A11" s="3065">
        <v>9</v>
      </c>
      <c r="B11" s="3065" t="s">
        <v>3232</v>
      </c>
      <c r="C11" s="2987" t="s">
        <v>3233</v>
      </c>
      <c r="D11" s="2985" t="s">
        <v>3228</v>
      </c>
      <c r="E11" s="2985">
        <v>1975</v>
      </c>
      <c r="F11" s="2985">
        <v>1446.5</v>
      </c>
      <c r="G11" s="2985" t="s">
        <v>3230</v>
      </c>
      <c r="H11" s="2986">
        <f t="shared" si="1"/>
        <v>7.9000000000000001E-2</v>
      </c>
      <c r="I11" s="2985">
        <f>F11/5</f>
        <v>289.3</v>
      </c>
    </row>
    <row r="12" spans="1:16" ht="15.75">
      <c r="A12" s="3066"/>
      <c r="B12" s="3066"/>
      <c r="C12" s="2987" t="s">
        <v>3234</v>
      </c>
      <c r="D12" s="2985" t="s">
        <v>3228</v>
      </c>
      <c r="E12" s="2985">
        <v>1975</v>
      </c>
      <c r="F12" s="2985">
        <v>289.3</v>
      </c>
      <c r="G12" s="2985" t="s">
        <v>3230</v>
      </c>
      <c r="H12" s="2986">
        <f t="shared" si="1"/>
        <v>7.9000000000000001E-2</v>
      </c>
      <c r="I12" s="2985"/>
    </row>
    <row r="13" spans="1:16" ht="15.75">
      <c r="A13" s="2983">
        <v>10</v>
      </c>
      <c r="B13" s="2983">
        <v>1</v>
      </c>
      <c r="C13" s="2983">
        <v>1</v>
      </c>
      <c r="D13" s="2985" t="s">
        <v>3228</v>
      </c>
      <c r="E13" s="2985">
        <v>1975</v>
      </c>
      <c r="F13" s="2985">
        <v>30.5</v>
      </c>
      <c r="G13" s="2985" t="s">
        <v>3247</v>
      </c>
      <c r="H13" s="2986">
        <f t="shared" si="1"/>
        <v>7.9000000000000001E-2</v>
      </c>
      <c r="I13" s="2985">
        <v>30.5</v>
      </c>
    </row>
    <row r="14" spans="1:16" ht="15.75">
      <c r="A14" s="2983">
        <v>11</v>
      </c>
      <c r="B14" s="2983">
        <v>1</v>
      </c>
      <c r="C14" s="2983">
        <v>1</v>
      </c>
      <c r="D14" s="2985" t="s">
        <v>3235</v>
      </c>
      <c r="E14" s="2985">
        <v>1975</v>
      </c>
      <c r="F14" s="2985">
        <v>19.600000000000001</v>
      </c>
      <c r="G14" s="2985" t="s">
        <v>3247</v>
      </c>
      <c r="H14" s="2985"/>
      <c r="I14" s="2985">
        <v>19.600000000000001</v>
      </c>
      <c r="O14" s="2750" t="s">
        <v>3271</v>
      </c>
      <c r="P14" s="1271">
        <v>3000</v>
      </c>
    </row>
    <row r="15" spans="1:16" ht="15.75">
      <c r="A15" s="2983">
        <v>12</v>
      </c>
      <c r="B15" s="2983">
        <v>1</v>
      </c>
      <c r="C15" s="2983">
        <v>1</v>
      </c>
      <c r="D15" s="2985" t="s">
        <v>3235</v>
      </c>
      <c r="E15" s="2985">
        <v>1975</v>
      </c>
      <c r="F15" s="2985">
        <v>16.600000000000001</v>
      </c>
      <c r="G15" s="2985" t="s">
        <v>3247</v>
      </c>
      <c r="H15" s="2985"/>
      <c r="I15" s="2985">
        <v>16.600000000000001</v>
      </c>
      <c r="L15" s="2989">
        <v>30591</v>
      </c>
      <c r="M15" s="2990">
        <v>5.5E-2</v>
      </c>
      <c r="O15" s="2750" t="s">
        <v>3269</v>
      </c>
      <c r="P15" s="1271">
        <f>P14*(K5+K6)</f>
        <v>33962400</v>
      </c>
    </row>
    <row r="16" spans="1:16" ht="15.75">
      <c r="A16" s="2983">
        <v>13</v>
      </c>
      <c r="B16" s="2983">
        <v>1</v>
      </c>
      <c r="C16" s="2983">
        <v>1</v>
      </c>
      <c r="D16" s="2985" t="s">
        <v>3228</v>
      </c>
      <c r="E16" s="2985">
        <v>1975</v>
      </c>
      <c r="F16" s="2985">
        <v>17.2</v>
      </c>
      <c r="G16" s="2985" t="s">
        <v>3236</v>
      </c>
      <c r="H16" s="2986">
        <f t="shared" ref="H16:H34" si="2">ROUND(1-(1-2%)*(2022-E16)/50,3)</f>
        <v>7.9000000000000001E-2</v>
      </c>
      <c r="I16" s="2985">
        <v>17.2</v>
      </c>
      <c r="L16" s="2750" t="s">
        <v>3268</v>
      </c>
      <c r="M16" s="1271">
        <f>L15*M15</f>
        <v>1682.5050000000001</v>
      </c>
      <c r="O16" s="2750" t="s">
        <v>3270</v>
      </c>
      <c r="P16" s="1271">
        <f>P15/10000/10</f>
        <v>339.62399999999997</v>
      </c>
    </row>
    <row r="17" spans="1:13" ht="15.75">
      <c r="A17" s="3065">
        <v>14</v>
      </c>
      <c r="B17" s="3065">
        <v>1</v>
      </c>
      <c r="C17" s="2983">
        <v>1</v>
      </c>
      <c r="D17" s="2985" t="s">
        <v>3228</v>
      </c>
      <c r="E17" s="2985">
        <v>1975</v>
      </c>
      <c r="F17" s="2985">
        <v>109.5</v>
      </c>
      <c r="G17" s="2985" t="s">
        <v>3236</v>
      </c>
      <c r="H17" s="2986">
        <f t="shared" si="2"/>
        <v>7.9000000000000001E-2</v>
      </c>
      <c r="I17" s="2985">
        <v>109.5</v>
      </c>
      <c r="M17" s="1271">
        <f>M16+P16</f>
        <v>2022.1290000000001</v>
      </c>
    </row>
    <row r="18" spans="1:13" ht="15.75">
      <c r="A18" s="3066"/>
      <c r="B18" s="3066"/>
      <c r="C18" s="2987" t="s">
        <v>3237</v>
      </c>
      <c r="D18" s="2985" t="s">
        <v>3228</v>
      </c>
      <c r="E18" s="2985">
        <v>1991</v>
      </c>
      <c r="F18" s="2985">
        <v>24.9</v>
      </c>
      <c r="G18" s="2985" t="s">
        <v>3236</v>
      </c>
      <c r="H18" s="2986">
        <f t="shared" si="2"/>
        <v>0.39200000000000002</v>
      </c>
      <c r="I18" s="2985">
        <v>24.9</v>
      </c>
      <c r="M18" s="1271">
        <f>M17*10000/(K5+K6)/365</f>
        <v>4.8937172744459714</v>
      </c>
    </row>
    <row r="19" spans="1:13" ht="15.75">
      <c r="A19" s="2983">
        <v>15</v>
      </c>
      <c r="B19" s="2983">
        <v>1</v>
      </c>
      <c r="C19" s="2983">
        <v>1</v>
      </c>
      <c r="D19" s="2985" t="s">
        <v>3228</v>
      </c>
      <c r="E19" s="2985">
        <v>1989</v>
      </c>
      <c r="F19" s="2985">
        <v>69.599999999999994</v>
      </c>
      <c r="G19" s="2985" t="s">
        <v>3247</v>
      </c>
      <c r="H19" s="2986">
        <f t="shared" si="2"/>
        <v>0.35299999999999998</v>
      </c>
      <c r="I19" s="2985">
        <v>69.599999999999994</v>
      </c>
    </row>
    <row r="20" spans="1:13" ht="15.75">
      <c r="A20" s="3065">
        <v>16</v>
      </c>
      <c r="B20" s="3065">
        <v>5</v>
      </c>
      <c r="C20" s="2987" t="s">
        <v>3231</v>
      </c>
      <c r="D20" s="2985" t="s">
        <v>3228</v>
      </c>
      <c r="E20" s="2985">
        <v>1989</v>
      </c>
      <c r="F20" s="2985">
        <v>1700.4</v>
      </c>
      <c r="G20" s="2985" t="s">
        <v>3230</v>
      </c>
      <c r="H20" s="2986">
        <f t="shared" si="2"/>
        <v>0.35299999999999998</v>
      </c>
      <c r="I20" s="2985">
        <f>F20/3</f>
        <v>566.80000000000007</v>
      </c>
    </row>
    <row r="21" spans="1:13" ht="15.75">
      <c r="A21" s="3066"/>
      <c r="B21" s="3066"/>
      <c r="C21" s="2987" t="s">
        <v>3238</v>
      </c>
      <c r="D21" s="2985" t="s">
        <v>3228</v>
      </c>
      <c r="E21" s="2985">
        <v>1994</v>
      </c>
      <c r="F21" s="2985">
        <v>1133.5999999999999</v>
      </c>
      <c r="G21" s="2985" t="s">
        <v>3230</v>
      </c>
      <c r="H21" s="2986">
        <f t="shared" si="2"/>
        <v>0.45100000000000001</v>
      </c>
      <c r="I21" s="2985"/>
    </row>
    <row r="22" spans="1:13" ht="15.75">
      <c r="A22" s="2983">
        <v>17</v>
      </c>
      <c r="B22" s="2983">
        <v>1</v>
      </c>
      <c r="C22" s="2983">
        <v>1</v>
      </c>
      <c r="D22" s="2985" t="s">
        <v>3228</v>
      </c>
      <c r="E22" s="2985">
        <v>1989</v>
      </c>
      <c r="F22" s="2985">
        <v>30.4</v>
      </c>
      <c r="G22" s="2985" t="s">
        <v>3239</v>
      </c>
      <c r="H22" s="2986">
        <f t="shared" si="2"/>
        <v>0.35299999999999998</v>
      </c>
      <c r="I22" s="2985"/>
    </row>
    <row r="23" spans="1:13" ht="15.75">
      <c r="A23" s="2983">
        <v>18</v>
      </c>
      <c r="B23" s="2983">
        <v>1</v>
      </c>
      <c r="C23" s="2983">
        <v>1</v>
      </c>
      <c r="D23" s="2985" t="s">
        <v>3240</v>
      </c>
      <c r="E23" s="2985">
        <v>1989</v>
      </c>
      <c r="F23" s="2985">
        <v>23.5</v>
      </c>
      <c r="G23" s="2985" t="s">
        <v>3239</v>
      </c>
      <c r="H23" s="2986">
        <f t="shared" si="2"/>
        <v>0.35299999999999998</v>
      </c>
      <c r="I23" s="2985"/>
    </row>
    <row r="24" spans="1:13" ht="15.75">
      <c r="A24" s="2983">
        <v>19</v>
      </c>
      <c r="B24" s="2983">
        <v>1</v>
      </c>
      <c r="C24" s="2983">
        <v>1</v>
      </c>
      <c r="D24" s="2985" t="s">
        <v>3240</v>
      </c>
      <c r="E24" s="2985">
        <v>1989</v>
      </c>
      <c r="F24" s="2985">
        <v>27.9</v>
      </c>
      <c r="G24" s="2985" t="s">
        <v>3239</v>
      </c>
      <c r="H24" s="2986">
        <f t="shared" si="2"/>
        <v>0.35299999999999998</v>
      </c>
      <c r="I24" s="2985"/>
    </row>
    <row r="25" spans="1:13" ht="15.75">
      <c r="A25" s="2983">
        <v>20</v>
      </c>
      <c r="B25" s="2983">
        <v>1</v>
      </c>
      <c r="C25" s="2983">
        <v>1</v>
      </c>
      <c r="D25" s="2985" t="s">
        <v>3240</v>
      </c>
      <c r="E25" s="2985">
        <v>1991</v>
      </c>
      <c r="F25" s="2985">
        <v>20</v>
      </c>
      <c r="G25" s="2985" t="s">
        <v>3239</v>
      </c>
      <c r="H25" s="2986">
        <f t="shared" si="2"/>
        <v>0.39200000000000002</v>
      </c>
      <c r="I25" s="2985"/>
    </row>
    <row r="26" spans="1:13" ht="15.75">
      <c r="A26" s="2983">
        <v>21</v>
      </c>
      <c r="B26" s="2983">
        <v>1</v>
      </c>
      <c r="C26" s="2983">
        <v>1</v>
      </c>
      <c r="D26" s="2985" t="s">
        <v>3240</v>
      </c>
      <c r="E26" s="2985">
        <v>1991</v>
      </c>
      <c r="F26" s="2985">
        <v>41</v>
      </c>
      <c r="G26" s="2985" t="s">
        <v>3247</v>
      </c>
      <c r="H26" s="2986">
        <f t="shared" si="2"/>
        <v>0.39200000000000002</v>
      </c>
      <c r="I26" s="2985">
        <v>41</v>
      </c>
    </row>
    <row r="27" spans="1:13" ht="15.75">
      <c r="A27" s="2983">
        <v>22</v>
      </c>
      <c r="B27" s="2983">
        <v>1</v>
      </c>
      <c r="C27" s="2983">
        <v>1</v>
      </c>
      <c r="D27" s="2985" t="s">
        <v>3240</v>
      </c>
      <c r="E27" s="2985">
        <v>1989</v>
      </c>
      <c r="F27" s="2985">
        <v>90</v>
      </c>
      <c r="G27" s="2985" t="s">
        <v>3247</v>
      </c>
      <c r="H27" s="2986">
        <f t="shared" si="2"/>
        <v>0.35299999999999998</v>
      </c>
      <c r="I27" s="2985">
        <v>90</v>
      </c>
    </row>
    <row r="28" spans="1:13" ht="15.75">
      <c r="A28" s="3065">
        <v>23</v>
      </c>
      <c r="B28" s="3065">
        <v>3</v>
      </c>
      <c r="C28" s="2987" t="s">
        <v>3241</v>
      </c>
      <c r="D28" s="2985" t="s">
        <v>3240</v>
      </c>
      <c r="E28" s="2985">
        <v>1989</v>
      </c>
      <c r="F28" s="2985">
        <v>1413.3</v>
      </c>
      <c r="G28" s="2985" t="s">
        <v>3242</v>
      </c>
      <c r="H28" s="2986">
        <f t="shared" si="2"/>
        <v>0.35299999999999998</v>
      </c>
      <c r="I28" s="2985">
        <f>F28/3</f>
        <v>471.09999999999997</v>
      </c>
    </row>
    <row r="29" spans="1:13" ht="15.75">
      <c r="A29" s="3066"/>
      <c r="B29" s="3066"/>
      <c r="C29" s="2987" t="s">
        <v>3243</v>
      </c>
      <c r="D29" s="2985" t="s">
        <v>3240</v>
      </c>
      <c r="E29" s="2985">
        <v>1989</v>
      </c>
      <c r="F29" s="2985">
        <v>29.8</v>
      </c>
      <c r="G29" s="2985" t="s">
        <v>3242</v>
      </c>
      <c r="H29" s="2986">
        <f t="shared" si="2"/>
        <v>0.35299999999999998</v>
      </c>
      <c r="I29" s="2985"/>
    </row>
    <row r="30" spans="1:13" ht="15.75">
      <c r="A30" s="3065">
        <v>24</v>
      </c>
      <c r="B30" s="3065">
        <v>3</v>
      </c>
      <c r="C30" s="2987" t="s">
        <v>3241</v>
      </c>
      <c r="D30" s="2985" t="s">
        <v>3240</v>
      </c>
      <c r="E30" s="2985">
        <v>1989</v>
      </c>
      <c r="F30" s="2985">
        <v>1276.5</v>
      </c>
      <c r="G30" s="2985" t="s">
        <v>3242</v>
      </c>
      <c r="H30" s="2986">
        <f t="shared" si="2"/>
        <v>0.35299999999999998</v>
      </c>
      <c r="I30" s="2985">
        <f>F30/3</f>
        <v>425.5</v>
      </c>
    </row>
    <row r="31" spans="1:13" ht="15.75">
      <c r="A31" s="3066"/>
      <c r="B31" s="3066"/>
      <c r="C31" s="2987" t="s">
        <v>3243</v>
      </c>
      <c r="D31" s="2985" t="s">
        <v>3240</v>
      </c>
      <c r="E31" s="2985">
        <v>1989</v>
      </c>
      <c r="F31" s="2985">
        <v>22.8</v>
      </c>
      <c r="G31" s="2985" t="s">
        <v>3242</v>
      </c>
      <c r="H31" s="2986">
        <f t="shared" si="2"/>
        <v>0.35299999999999998</v>
      </c>
      <c r="I31" s="2985"/>
    </row>
    <row r="32" spans="1:13" ht="15.75">
      <c r="A32" s="2983">
        <v>25</v>
      </c>
      <c r="B32" s="2983">
        <v>3</v>
      </c>
      <c r="C32" s="2987"/>
      <c r="D32" s="2985" t="s">
        <v>3240</v>
      </c>
      <c r="E32" s="2985">
        <v>1989</v>
      </c>
      <c r="F32" s="2985">
        <v>1027.0999999999999</v>
      </c>
      <c r="G32" s="2985" t="s">
        <v>3242</v>
      </c>
      <c r="H32" s="2986">
        <f t="shared" si="2"/>
        <v>0.35299999999999998</v>
      </c>
      <c r="I32" s="2985">
        <f>F32/3</f>
        <v>342.36666666666662</v>
      </c>
    </row>
    <row r="33" spans="1:9" ht="15.75">
      <c r="A33" s="2983">
        <v>26</v>
      </c>
      <c r="B33" s="2983">
        <v>1</v>
      </c>
      <c r="C33" s="2983">
        <v>1</v>
      </c>
      <c r="D33" s="2985" t="s">
        <v>3240</v>
      </c>
      <c r="E33" s="2985">
        <v>1991</v>
      </c>
      <c r="F33" s="2985">
        <v>56.2</v>
      </c>
      <c r="G33" s="2985" t="s">
        <v>3244</v>
      </c>
      <c r="H33" s="2986">
        <f t="shared" si="2"/>
        <v>0.39200000000000002</v>
      </c>
      <c r="I33" s="2985">
        <f>F33</f>
        <v>56.2</v>
      </c>
    </row>
    <row r="34" spans="1:9" ht="15.75">
      <c r="A34" s="2983">
        <v>27</v>
      </c>
      <c r="B34" s="2983">
        <v>1</v>
      </c>
      <c r="C34" s="2983">
        <v>1</v>
      </c>
      <c r="D34" s="2985" t="s">
        <v>3240</v>
      </c>
      <c r="E34" s="2985">
        <v>1991</v>
      </c>
      <c r="F34" s="2985">
        <v>55.3</v>
      </c>
      <c r="G34" s="2985" t="s">
        <v>3244</v>
      </c>
      <c r="H34" s="2986">
        <f t="shared" si="2"/>
        <v>0.39200000000000002</v>
      </c>
      <c r="I34" s="2985">
        <f>F34</f>
        <v>55.3</v>
      </c>
    </row>
    <row r="35" spans="1:9" ht="15.75">
      <c r="A35" s="2983" t="s">
        <v>3245</v>
      </c>
      <c r="B35" s="2983" t="s">
        <v>3246</v>
      </c>
      <c r="C35" s="2987" t="s">
        <v>3246</v>
      </c>
      <c r="D35" s="2985" t="s">
        <v>3246</v>
      </c>
      <c r="E35" s="2985" t="s">
        <v>3246</v>
      </c>
      <c r="F35" s="2985">
        <f>SUM(F2:F34)</f>
        <v>11422.599999999999</v>
      </c>
      <c r="G35" s="2985"/>
      <c r="H35" s="2985"/>
      <c r="I35" s="2985">
        <f>SUM(I2:I34)</f>
        <v>3660.2666666666664</v>
      </c>
    </row>
    <row r="37" spans="1:9">
      <c r="F37" s="2750" t="s">
        <v>3273</v>
      </c>
      <c r="I37" s="1271">
        <f>ROUND('数据-基础表'!A3-面积表!I35,2)</f>
        <v>5118.4799999999996</v>
      </c>
    </row>
    <row r="39" spans="1:9">
      <c r="F39" s="2750"/>
    </row>
    <row r="40" spans="1:9">
      <c r="F40" s="2750"/>
      <c r="I40" s="2992"/>
    </row>
  </sheetData>
  <mergeCells count="12">
    <mergeCell ref="A5:A6"/>
    <mergeCell ref="B5:B6"/>
    <mergeCell ref="A11:A12"/>
    <mergeCell ref="B11:B12"/>
    <mergeCell ref="A17:A18"/>
    <mergeCell ref="B17:B18"/>
    <mergeCell ref="A20:A21"/>
    <mergeCell ref="B20:B21"/>
    <mergeCell ref="A28:A29"/>
    <mergeCell ref="B28:B29"/>
    <mergeCell ref="A30:A31"/>
    <mergeCell ref="B30:B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6" width="9.875" style="1593" customWidth="1"/>
    <col min="17" max="17" width="9.375" style="1593" customWidth="1"/>
    <col min="18" max="18" width="9.125" style="1593" customWidth="1"/>
    <col min="19" max="28" width="10.875" style="1593" customWidth="1"/>
    <col min="29" max="29" width="11" style="1593" bestFit="1" customWidth="1"/>
    <col min="30" max="30" width="10" style="1593" bestFit="1" customWidth="1"/>
    <col min="31" max="31" width="9.875" style="1593" customWidth="1"/>
    <col min="32" max="46" width="9.5" style="1593" customWidth="1"/>
    <col min="47" max="47" width="18.125" style="1593" customWidth="1"/>
    <col min="48" max="50" width="9.8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v>8778.75</v>
      </c>
      <c r="B3" s="14">
        <f>IF(C3="否",G5-AT5,G5)</f>
        <v>11320.8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1516</v>
      </c>
      <c r="B5" s="1388"/>
      <c r="C5" s="1388"/>
      <c r="D5" s="1389"/>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1517</v>
      </c>
      <c r="B6" s="1604"/>
      <c r="C6" s="1604"/>
      <c r="D6" s="1605"/>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1536</v>
      </c>
      <c r="I9" s="1621" t="s">
        <v>3184</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2.75">
      <c r="A10" s="1612"/>
      <c r="B10" s="1612"/>
      <c r="C10" s="1612"/>
      <c r="D10" s="1612"/>
      <c r="E10" s="1612"/>
      <c r="F10" s="1612"/>
      <c r="G10" s="1115"/>
      <c r="H10" s="28"/>
      <c r="I10" s="1621" t="s">
        <v>27</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3185</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t="str">
        <f>面积表!J5</f>
        <v>办公面积</v>
      </c>
      <c r="D13" s="1643" t="s">
        <v>3183</v>
      </c>
      <c r="E13" s="16">
        <f>IF($C$3="是",ROUND($A$3*G13/$B$3,2),ROUND($A$3*(G13-AT13)/$B$3,2))</f>
        <v>7931.1</v>
      </c>
      <c r="F13" s="32"/>
      <c r="G13" s="33">
        <f>H13+AC13+AT13</f>
        <v>10227.700000000001</v>
      </c>
      <c r="H13" s="20">
        <f>SUMIF(I$12:AB$12,"总值",I13:AB13)</f>
        <v>10227.700000000001</v>
      </c>
      <c r="I13" s="1644">
        <f>面积表!K5</f>
        <v>10227.700000000001</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办公面积</v>
      </c>
      <c r="AY13" s="1389">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636" t="str">
        <f>面积表!J6</f>
        <v>配套面积</v>
      </c>
      <c r="D14" s="1643" t="s">
        <v>3183</v>
      </c>
      <c r="E14" s="16">
        <f>IF($C$3="是",ROUND($A$3*G14/$B$3,2),ROUND($A$3*(G14-AT14)/$B$3,2))</f>
        <v>847.65</v>
      </c>
      <c r="F14" s="32"/>
      <c r="G14" s="33">
        <f>H14+AC14+AT14</f>
        <v>1093.0999999999979</v>
      </c>
      <c r="H14" s="20">
        <f>SUMIF(I$12:AB$12,"总值",I14:AB14)</f>
        <v>1093.0999999999979</v>
      </c>
      <c r="I14" s="1644">
        <f>面积表!K6</f>
        <v>1093.0999999999979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配套面积</v>
      </c>
      <c r="AY14" s="1389">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636" t="str">
        <f>面积表!J7</f>
        <v>灭失面积</v>
      </c>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灭失面积</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636"/>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636"/>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636"/>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636"/>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636"/>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636"/>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125" defaultRowHeight="14.25"/>
  <cols>
    <col min="1" max="1" width="12.125" style="1652" customWidth="1"/>
    <col min="2" max="2" width="10.1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125" style="1652"/>
  </cols>
  <sheetData>
    <row r="1" spans="1:16" ht="19.5" thickBot="1">
      <c r="A1" s="1651" t="s">
        <v>1575</v>
      </c>
      <c r="B1" s="1181"/>
      <c r="C1" s="1181"/>
      <c r="D1" s="1181"/>
      <c r="E1" s="1181"/>
      <c r="F1" s="1181"/>
      <c r="G1" s="1181"/>
      <c r="H1" s="1181"/>
      <c r="I1" s="1181"/>
      <c r="J1" s="1181"/>
      <c r="K1" s="1181"/>
      <c r="L1" s="1181"/>
      <c r="M1" s="1181"/>
      <c r="N1" s="1181"/>
      <c r="O1" s="1181"/>
      <c r="P1" s="1181"/>
    </row>
    <row r="2" spans="1:16" ht="15">
      <c r="A2" s="3078" t="s">
        <v>1576</v>
      </c>
      <c r="B2" s="3078"/>
      <c r="C2" s="3078"/>
      <c r="D2" s="832" t="s">
        <v>1552</v>
      </c>
      <c r="E2" s="1653" t="s">
        <v>1553</v>
      </c>
      <c r="F2" s="2605"/>
      <c r="G2" s="2598"/>
      <c r="H2" s="2599"/>
      <c r="I2" s="2308" t="s">
        <v>1577</v>
      </c>
      <c r="J2" s="2605"/>
      <c r="K2" s="2605"/>
      <c r="L2" s="2605"/>
      <c r="M2" s="2605"/>
      <c r="N2" s="2606"/>
      <c r="O2" s="2605"/>
      <c r="P2" s="2605"/>
    </row>
    <row r="3" spans="1:16" ht="15.75" thickBot="1">
      <c r="A3" s="3079" t="s">
        <v>1550</v>
      </c>
      <c r="B3" s="3079"/>
      <c r="C3" s="3079"/>
      <c r="D3" s="44">
        <f>'数据-基础表'!AY6</f>
        <v>8778.75</v>
      </c>
      <c r="E3" s="44">
        <f>'数据-基础表'!AZ5</f>
        <v>11320.8</v>
      </c>
      <c r="F3" s="2605"/>
      <c r="G3" s="45"/>
      <c r="H3" s="46" t="s">
        <v>1551</v>
      </c>
      <c r="I3" s="887">
        <f>ROUND('数据-基础表'!B3/'数据-基础表'!A3,2)</f>
        <v>1.29</v>
      </c>
      <c r="J3" s="2605"/>
      <c r="K3" s="2605"/>
      <c r="L3" s="2605"/>
      <c r="M3" s="2605"/>
      <c r="N3" s="2606"/>
      <c r="O3" s="2605"/>
      <c r="P3" s="2605"/>
    </row>
    <row r="4" spans="1:16" ht="15">
      <c r="A4" s="3080"/>
      <c r="B4" s="3081"/>
      <c r="C4" s="3082"/>
      <c r="D4" s="1654" t="s">
        <v>1552</v>
      </c>
      <c r="E4" s="1655" t="s">
        <v>1553</v>
      </c>
      <c r="F4" s="2605"/>
      <c r="G4" s="2600" t="s">
        <v>1578</v>
      </c>
      <c r="H4" s="46" t="s">
        <v>1558</v>
      </c>
      <c r="I4" s="887">
        <f>ROUND(SUMIF('数据-基础表'!I9:AS9,"地上",'数据-基础表'!I5:AS5)/'数据-基础表'!A3,2)</f>
        <v>1.29</v>
      </c>
      <c r="J4" s="2605"/>
      <c r="K4" s="2605"/>
      <c r="L4" s="2605"/>
      <c r="M4" s="2605"/>
      <c r="N4" s="2606"/>
      <c r="O4" s="2605"/>
      <c r="P4" s="2605"/>
    </row>
    <row r="5" spans="1:16">
      <c r="A5" s="45" t="s">
        <v>1554</v>
      </c>
      <c r="B5" s="3083" t="s">
        <v>1555</v>
      </c>
      <c r="C5" s="3083"/>
      <c r="D5" s="46">
        <f>ROUND($D$3*E5/$E$3,2)</f>
        <v>0</v>
      </c>
      <c r="E5" s="47">
        <f>SUMIF('数据-基础表'!$11:$11,"住宅",'数据-基础表'!$5:$5)</f>
        <v>0</v>
      </c>
      <c r="F5" s="2605"/>
      <c r="G5" s="45"/>
      <c r="H5" s="46" t="s">
        <v>1551</v>
      </c>
      <c r="I5" s="887">
        <f>ROUND(E31/D31,2)</f>
        <v>1.29</v>
      </c>
      <c r="J5" s="2605"/>
      <c r="K5" s="2605"/>
      <c r="L5" s="2605"/>
      <c r="M5" s="2605"/>
      <c r="N5" s="2605"/>
      <c r="O5" s="2605"/>
      <c r="P5" s="2605"/>
    </row>
    <row r="6" spans="1:16" ht="15" thickBot="1">
      <c r="A6" s="1657"/>
      <c r="B6" s="3083" t="s">
        <v>1556</v>
      </c>
      <c r="C6" s="3083"/>
      <c r="D6" s="46">
        <f>ROUND($D$3*E6/$E$3,2)</f>
        <v>8778.75</v>
      </c>
      <c r="E6" s="47">
        <f>E3-E5</f>
        <v>11320.8</v>
      </c>
      <c r="F6" s="2605"/>
      <c r="G6" s="1659" t="s">
        <v>1557</v>
      </c>
      <c r="H6" s="48" t="s">
        <v>1558</v>
      </c>
      <c r="I6" s="2601">
        <f>ROUND(F31/D31,2)</f>
        <v>1.29</v>
      </c>
      <c r="J6" s="2605"/>
      <c r="K6" s="2605"/>
      <c r="L6" s="2605"/>
      <c r="M6" s="2605"/>
      <c r="N6" s="2605"/>
      <c r="O6" s="2605"/>
      <c r="P6" s="2605"/>
    </row>
    <row r="7" spans="1:16" ht="15.75" thickBot="1">
      <c r="A7" s="3075"/>
      <c r="B7" s="3076"/>
      <c r="C7" s="3077"/>
      <c r="D7" s="1654" t="s">
        <v>1552</v>
      </c>
      <c r="E7" s="1658" t="s">
        <v>1559</v>
      </c>
      <c r="F7" s="2605"/>
      <c r="G7" s="2602" t="s">
        <v>1560</v>
      </c>
      <c r="H7" s="100"/>
      <c r="I7" s="2603">
        <f>I6</f>
        <v>1.29</v>
      </c>
      <c r="J7" s="2605"/>
      <c r="K7" s="2605"/>
      <c r="L7" s="2605"/>
      <c r="M7" s="2605"/>
      <c r="N7" s="2605"/>
      <c r="O7" s="2605"/>
      <c r="P7" s="2605"/>
    </row>
    <row r="8" spans="1:16">
      <c r="A8" s="45" t="s">
        <v>1561</v>
      </c>
      <c r="B8" s="48" t="s">
        <v>1562</v>
      </c>
      <c r="C8" s="46" t="s">
        <v>1563</v>
      </c>
      <c r="D8" s="46">
        <f t="shared" ref="D8:D15" si="0">ROUND($D$3*E8/$E$3,2)</f>
        <v>8778.75</v>
      </c>
      <c r="E8" s="49">
        <f>SUMIF('数据-基础表'!BB10:BK10,"地上",'数据-基础表'!BB5:BK5)</f>
        <v>11320.8</v>
      </c>
      <c r="F8" s="2605"/>
      <c r="G8" s="2605"/>
      <c r="H8" s="2605"/>
      <c r="I8" s="2605"/>
      <c r="J8" s="2605"/>
      <c r="K8" s="2605"/>
      <c r="L8" s="2605"/>
      <c r="M8" s="2605"/>
      <c r="N8" s="2605"/>
      <c r="O8" s="2605"/>
      <c r="P8" s="2605"/>
    </row>
    <row r="9" spans="1:16">
      <c r="A9" s="1659"/>
      <c r="B9" s="1660"/>
      <c r="C9" s="46" t="s">
        <v>1564</v>
      </c>
      <c r="D9" s="46">
        <f t="shared" si="0"/>
        <v>0</v>
      </c>
      <c r="E9" s="50">
        <v>0</v>
      </c>
      <c r="F9" s="2605"/>
      <c r="G9" s="2605"/>
      <c r="H9" s="2605"/>
      <c r="I9" s="2605"/>
      <c r="J9" s="2605"/>
      <c r="K9" s="2605"/>
      <c r="L9" s="2605"/>
      <c r="M9" s="2605"/>
      <c r="N9" s="2605"/>
      <c r="O9" s="2605"/>
      <c r="P9" s="2605"/>
    </row>
    <row r="10" spans="1:16">
      <c r="A10" s="1659"/>
      <c r="B10" s="1660"/>
      <c r="C10" s="46" t="s">
        <v>1573</v>
      </c>
      <c r="D10" s="46">
        <f t="shared" si="0"/>
        <v>0</v>
      </c>
      <c r="E10" s="49">
        <f>SUMPRODUCT(('数据-基础表'!BB10:BK10="地下")*('数据-基础表'!BB11:BK11="商业")*('数据-基础表'!BB5:BK5))</f>
        <v>0</v>
      </c>
      <c r="F10" s="2605"/>
      <c r="G10" s="2605"/>
      <c r="H10" s="2605"/>
      <c r="I10" s="2605"/>
      <c r="J10" s="2605"/>
      <c r="K10" s="2605"/>
      <c r="L10" s="2605"/>
      <c r="M10" s="2605"/>
      <c r="N10" s="2605"/>
      <c r="O10" s="2605"/>
      <c r="P10" s="2605"/>
    </row>
    <row r="11" spans="1:16">
      <c r="A11" s="1659"/>
      <c r="B11" s="1660"/>
      <c r="C11" s="46" t="s">
        <v>1565</v>
      </c>
      <c r="D11" s="46">
        <f t="shared" si="0"/>
        <v>0</v>
      </c>
      <c r="E11" s="4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1659"/>
      <c r="B12" s="1660"/>
      <c r="C12" s="46" t="s">
        <v>1566</v>
      </c>
      <c r="D12" s="46">
        <f t="shared" si="0"/>
        <v>0</v>
      </c>
      <c r="E12" s="49">
        <f>SUMPRODUCT(('数据-基础表'!BB10:BK10="地下")*('数据-基础表'!BB11:BK11="仓储")*('数据-基础表'!BB5:BK5))</f>
        <v>0</v>
      </c>
      <c r="F12" s="2605"/>
      <c r="G12" s="2605"/>
      <c r="H12" s="2605"/>
      <c r="I12" s="2605"/>
      <c r="J12" s="2605"/>
      <c r="K12" s="2605"/>
      <c r="L12" s="2605"/>
      <c r="M12" s="2605"/>
      <c r="N12" s="2605"/>
      <c r="O12" s="2605"/>
      <c r="P12" s="2605"/>
    </row>
    <row r="13" spans="1:16">
      <c r="A13" s="1659"/>
      <c r="B13" s="1660"/>
      <c r="C13" s="46" t="s">
        <v>1567</v>
      </c>
      <c r="D13" s="46">
        <f t="shared" si="0"/>
        <v>0</v>
      </c>
      <c r="E13" s="49">
        <f>SUMPRODUCT(('数据-基础表'!BB10:BK10="地下")*('数据-基础表'!BB11:BK11="车库")*('数据-基础表'!BB5:BK5))</f>
        <v>0</v>
      </c>
      <c r="F13" s="2605"/>
      <c r="G13" s="2605"/>
      <c r="H13" s="2605"/>
      <c r="I13" s="2605"/>
      <c r="J13" s="2605"/>
      <c r="K13" s="2605"/>
      <c r="L13" s="2605"/>
      <c r="M13" s="2605"/>
      <c r="N13" s="2605"/>
      <c r="O13" s="2605"/>
      <c r="P13" s="2605"/>
    </row>
    <row r="14" spans="1:16">
      <c r="A14" s="1659"/>
      <c r="B14" s="1660"/>
      <c r="C14" s="46" t="s">
        <v>1579</v>
      </c>
      <c r="D14" s="46">
        <f t="shared" si="0"/>
        <v>0</v>
      </c>
      <c r="E14" s="49">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659"/>
      <c r="B15" s="1660"/>
      <c r="C15" s="46" t="s">
        <v>1574</v>
      </c>
      <c r="D15" s="46">
        <f t="shared" si="0"/>
        <v>0</v>
      </c>
      <c r="E15" s="49">
        <f>SUMPRODUCT(('数据-基础表'!BB10:BK10="地下")*('数据-基础表'!BB11:BK11="车库—办公")*('数据-基础表'!BB5:BK5))</f>
        <v>0</v>
      </c>
      <c r="F15" s="2605"/>
      <c r="G15" s="2605"/>
      <c r="H15" s="2605"/>
      <c r="I15" s="2605"/>
      <c r="J15" s="2605"/>
      <c r="K15" s="2605"/>
      <c r="L15" s="2605"/>
      <c r="M15" s="2605"/>
      <c r="N15" s="2605"/>
      <c r="O15" s="2605"/>
      <c r="P15" s="2605"/>
    </row>
    <row r="16" spans="1:16" ht="15.75" thickBot="1">
      <c r="A16" s="1657"/>
      <c r="B16" s="1660"/>
      <c r="C16" s="48" t="s">
        <v>1568</v>
      </c>
      <c r="D16" s="48">
        <f>SUM(D8:D15)</f>
        <v>8778.75</v>
      </c>
      <c r="E16" s="51">
        <f>SUM(E8:E15)</f>
        <v>11320.8</v>
      </c>
      <c r="F16" s="2605"/>
      <c r="G16" s="2605"/>
      <c r="H16" s="1661" t="s">
        <v>1580</v>
      </c>
      <c r="I16" s="1662"/>
      <c r="J16" s="1181"/>
      <c r="K16" s="3072" t="s">
        <v>1580</v>
      </c>
      <c r="L16" s="3073"/>
      <c r="M16" s="3073"/>
      <c r="N16" s="3073"/>
      <c r="O16" s="3073"/>
      <c r="P16" s="3074"/>
    </row>
    <row r="17" spans="1:19" ht="15">
      <c r="A17" s="1663" t="s">
        <v>1581</v>
      </c>
      <c r="B17" s="1664" t="s">
        <v>1582</v>
      </c>
      <c r="C17" s="1665" t="s">
        <v>1583</v>
      </c>
      <c r="D17" s="1666" t="s">
        <v>1571</v>
      </c>
      <c r="E17" s="1667" t="s">
        <v>1572</v>
      </c>
      <c r="F17" s="1668"/>
      <c r="G17" s="1669"/>
      <c r="H17" s="1670" t="s">
        <v>1584</v>
      </c>
      <c r="I17" s="1671" t="s">
        <v>1569</v>
      </c>
      <c r="J17" s="1181"/>
      <c r="K17" s="3069" t="s">
        <v>1585</v>
      </c>
      <c r="L17" s="3070"/>
      <c r="M17" s="3071"/>
      <c r="N17" s="3069" t="s">
        <v>1586</v>
      </c>
      <c r="O17" s="3070"/>
      <c r="P17" s="3071"/>
      <c r="R17" s="854" t="s">
        <v>1587</v>
      </c>
      <c r="S17" s="58"/>
    </row>
    <row r="18" spans="1:19" ht="15">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2964" t="s">
        <v>3186</v>
      </c>
      <c r="D19" s="46">
        <f>ROUND($D$3*E19/$E$3,2)</f>
        <v>8778.75</v>
      </c>
      <c r="E19" s="54">
        <f t="shared" ref="E19:E26" si="1">SUM(F19:G19)</f>
        <v>11320.8</v>
      </c>
      <c r="F19" s="2726">
        <f>'数据-基础表'!I5</f>
        <v>11320.8</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8778.75</v>
      </c>
      <c r="S19" s="54">
        <f t="shared" si="5"/>
        <v>11320.8</v>
      </c>
    </row>
    <row r="20" spans="1:19">
      <c r="A20" s="1679"/>
      <c r="B20" s="48" t="s">
        <v>1598</v>
      </c>
      <c r="C20" s="1680"/>
      <c r="D20" s="46">
        <f t="shared" ref="D20:D26" si="6">ROUND($D$3*E20/$E$3,2)</f>
        <v>0</v>
      </c>
      <c r="E20" s="54">
        <f t="shared" si="1"/>
        <v>0</v>
      </c>
      <c r="F20" s="2726"/>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1598</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1599</v>
      </c>
      <c r="D27" s="1182">
        <f>SUM(D19:D26)</f>
        <v>8778.75</v>
      </c>
      <c r="E27" s="1183">
        <f>IF(SUM(E19:E26)='数据-基础表'!BA5,SUM(E19:E26),IF(F27="地上面积有误","面积有误","地下面积有误"))</f>
        <v>11320.8</v>
      </c>
      <c r="F27" s="1182">
        <f>IF(SUM(F19:F26)=E8,SUM(F19:F26),"地上面积有误")</f>
        <v>11320.8</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8778.75</v>
      </c>
      <c r="S27" s="46">
        <f>IF(SUM(S19:S26)=$E$3,SUM(S19:S26),SUM(S19:S26)&amp;"误差"&amp;ROUND(SUM(S19:S26)-E3,2))</f>
        <v>11320.8</v>
      </c>
    </row>
    <row r="28" spans="1:19">
      <c r="A28" s="1679"/>
      <c r="B28" s="48" t="s">
        <v>1600</v>
      </c>
      <c r="C28" s="58" t="s">
        <v>1601</v>
      </c>
      <c r="D28" s="46">
        <f>ROUND($D$3*E28/$E$3,2)</f>
        <v>0</v>
      </c>
      <c r="E28" s="54">
        <f>SUM(F28:G28)</f>
        <v>0</v>
      </c>
      <c r="F28" s="58">
        <f>'数据-基础表'!BQ5+'数据-基础表'!BS5</f>
        <v>0</v>
      </c>
      <c r="G28" s="59">
        <f>'数据-基础表'!BR5+'数据-基础表'!BT5</f>
        <v>0</v>
      </c>
      <c r="H28" s="2605"/>
      <c r="I28" s="2605"/>
      <c r="J28" s="2605"/>
      <c r="K28" s="2605"/>
      <c r="L28" s="2605"/>
      <c r="M28" s="2605"/>
      <c r="N28" s="2605"/>
      <c r="O28" s="2605"/>
      <c r="P28" s="2605"/>
    </row>
    <row r="29" spans="1:19">
      <c r="A29" s="1679"/>
      <c r="B29" s="48" t="s">
        <v>1600</v>
      </c>
      <c r="C29" s="1685" t="s">
        <v>1602</v>
      </c>
      <c r="D29" s="46">
        <f>ROUND($D$3*E29/$E$3,2)</f>
        <v>0</v>
      </c>
      <c r="E29" s="54">
        <f>SUM(F29:G29)</f>
        <v>0</v>
      </c>
      <c r="F29" s="60">
        <f>'数据-基础表'!BM5+'数据-基础表'!BO5</f>
        <v>0</v>
      </c>
      <c r="G29" s="51">
        <f>'数据-基础表'!BN5+'数据-基础表'!BP5</f>
        <v>0</v>
      </c>
      <c r="H29" s="2605"/>
      <c r="I29" s="2605"/>
      <c r="J29" s="2605"/>
      <c r="K29" s="2605"/>
      <c r="L29" s="2605"/>
      <c r="M29" s="2605"/>
      <c r="N29" s="2605"/>
      <c r="O29" s="2605"/>
      <c r="P29" s="2605"/>
    </row>
    <row r="30" spans="1:19" ht="15">
      <c r="A30" s="1679"/>
      <c r="B30" s="48"/>
      <c r="C30" s="1686" t="s">
        <v>1599</v>
      </c>
      <c r="D30" s="1182">
        <f>SUM(D28:D29)</f>
        <v>0</v>
      </c>
      <c r="E30" s="1182">
        <f>SUM(E28:E29)</f>
        <v>0</v>
      </c>
      <c r="F30" s="1182">
        <f>SUM(F28:F29)</f>
        <v>0</v>
      </c>
      <c r="G30" s="1184">
        <f>SUM(G28:G29)</f>
        <v>0</v>
      </c>
      <c r="H30" s="2605"/>
      <c r="I30" s="2605"/>
      <c r="J30" s="2605"/>
      <c r="K30" s="2605"/>
      <c r="L30" s="2605"/>
      <c r="M30" s="2605"/>
      <c r="N30" s="2605"/>
      <c r="O30" s="2605"/>
      <c r="P30" s="2605"/>
    </row>
    <row r="31" spans="1:19" ht="15.75" thickBot="1">
      <c r="A31" s="1687"/>
      <c r="B31" s="101"/>
      <c r="C31" s="870" t="s">
        <v>1603</v>
      </c>
      <c r="D31" s="652">
        <f>D27+D30</f>
        <v>8778.75</v>
      </c>
      <c r="E31" s="652">
        <f>E27+E30</f>
        <v>11320.8</v>
      </c>
      <c r="F31" s="653">
        <f>F27+F30</f>
        <v>11320.8</v>
      </c>
      <c r="G31" s="654">
        <f>G27+G30</f>
        <v>0</v>
      </c>
      <c r="H31" s="2605"/>
      <c r="I31" s="2605"/>
      <c r="J31" s="2605"/>
      <c r="K31" s="2605"/>
      <c r="L31" s="2605"/>
      <c r="M31" s="2605"/>
      <c r="N31" s="2605"/>
      <c r="O31" s="2605"/>
      <c r="P31" s="2605"/>
    </row>
    <row r="32" spans="1:19">
      <c r="A32" s="1656"/>
      <c r="B32" s="1656" t="s">
        <v>1604</v>
      </c>
      <c r="C32" s="1656"/>
      <c r="D32" s="1656"/>
      <c r="E32" s="1097">
        <f>SUMIF(C19:C26,"*住宅*",E19:E26)</f>
        <v>0</v>
      </c>
      <c r="F32" s="1656"/>
      <c r="G32" s="1656"/>
      <c r="H32" s="2605"/>
      <c r="I32" s="2605"/>
      <c r="J32" s="2605"/>
      <c r="K32" s="2605"/>
      <c r="L32" s="2605"/>
      <c r="M32" s="2605"/>
      <c r="N32" s="2605"/>
      <c r="O32" s="2605"/>
      <c r="P32" s="2605"/>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875" defaultRowHeight="12.75"/>
  <cols>
    <col min="1" max="1" width="20.875" style="1748" customWidth="1"/>
    <col min="2" max="2" width="12" style="1691" customWidth="1"/>
    <col min="3" max="3" width="12.8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7.5" style="1691" customWidth="1"/>
    <col min="22" max="22" width="6.375" style="1691" customWidth="1"/>
    <col min="23" max="30" width="6.875" style="1691" customWidth="1"/>
    <col min="31" max="31" width="8" style="1691" customWidth="1"/>
    <col min="32" max="34" width="7.125" style="1691" customWidth="1"/>
    <col min="35" max="39" width="8" style="1691" customWidth="1"/>
    <col min="40" max="40" width="13.875" style="127"/>
    <col min="41" max="41" width="11.625" style="127" customWidth="1"/>
    <col min="42" max="42" width="9.875" style="127" customWidth="1"/>
    <col min="43" max="67" width="13.875" style="127"/>
    <col min="68" max="16384" width="13.875" style="1691"/>
  </cols>
  <sheetData>
    <row r="1" spans="1:67" ht="19.5"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75" thickBot="1">
      <c r="A2" s="1692" t="s">
        <v>1606</v>
      </c>
      <c r="B2" s="1091">
        <f>项目基本情况!D3</f>
        <v>44848</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5"/>
      <c r="AO2" s="2605"/>
      <c r="AP2" s="2605"/>
      <c r="AQ2" s="2605"/>
      <c r="AR2" s="2605"/>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5"/>
      <c r="AO3" s="2605"/>
      <c r="AP3" s="2605"/>
      <c r="AQ3" s="2605"/>
      <c r="AR3" s="2605"/>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4"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5"/>
      <c r="AO4" s="2605"/>
      <c r="AP4" s="2605"/>
      <c r="AQ4" s="2605"/>
      <c r="AR4" s="2605"/>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1626</v>
      </c>
      <c r="O5" s="1707" t="s">
        <v>1627</v>
      </c>
      <c r="P5" s="1710" t="s">
        <v>1628</v>
      </c>
      <c r="Q5" s="62" t="s">
        <v>1629</v>
      </c>
      <c r="R5" s="1711" t="s">
        <v>1630</v>
      </c>
      <c r="S5" s="1712" t="s">
        <v>1631</v>
      </c>
      <c r="T5" s="1713" t="s">
        <v>1632</v>
      </c>
      <c r="U5" s="1092" t="s">
        <v>1633</v>
      </c>
      <c r="V5" s="512" t="s">
        <v>1634</v>
      </c>
      <c r="W5" s="512" t="s">
        <v>1635</v>
      </c>
      <c r="X5" s="64"/>
      <c r="Y5" s="63" t="s">
        <v>1636</v>
      </c>
      <c r="Z5" s="1211" t="s">
        <v>1633</v>
      </c>
      <c r="AA5" s="512" t="s">
        <v>1634</v>
      </c>
      <c r="AB5" s="512" t="s">
        <v>1635</v>
      </c>
      <c r="AC5" s="64"/>
      <c r="AD5" s="64" t="s">
        <v>1636</v>
      </c>
      <c r="AE5" s="1092" t="s">
        <v>1637</v>
      </c>
      <c r="AF5" s="512" t="s">
        <v>1638</v>
      </c>
      <c r="AG5" s="63" t="s">
        <v>1639</v>
      </c>
      <c r="AH5" s="1092" t="s">
        <v>1640</v>
      </c>
      <c r="AI5" s="1211" t="s">
        <v>1641</v>
      </c>
      <c r="AJ5" s="1211" t="s">
        <v>1642</v>
      </c>
      <c r="AK5" s="512" t="s">
        <v>1643</v>
      </c>
      <c r="AL5" s="512" t="s">
        <v>1644</v>
      </c>
      <c r="AM5" s="63" t="s">
        <v>1645</v>
      </c>
      <c r="AN5" s="1714" t="s">
        <v>1646</v>
      </c>
      <c r="AO5" s="1584" t="s">
        <v>1647</v>
      </c>
      <c r="AP5" s="1075" t="s">
        <v>1648</v>
      </c>
      <c r="AQ5" s="1715" t="s">
        <v>1649</v>
      </c>
      <c r="AR5" s="1715"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办公</v>
      </c>
      <c r="B6" s="1717" t="str">
        <f>IF(A6=0,"","经营性")</f>
        <v>经营性</v>
      </c>
      <c r="C6" s="1718"/>
      <c r="D6" s="890">
        <f>SUMIF(项目基本情况!D$12:I$12,C6,项目基本情况!D$14:I$14)</f>
        <v>0</v>
      </c>
      <c r="E6" s="889">
        <f>IF(B6="","",SUMIF(项目基本情况!D$12:I$12,C6,项目基本情况!D$13:I$13))</f>
        <v>0</v>
      </c>
      <c r="F6" s="65">
        <f>SUMIF(项目基本情况!D$12:I$12,C6,项目基本情况!D$15:I$15)</f>
        <v>0</v>
      </c>
      <c r="G6" s="66">
        <f>IF(ISERROR(ROUND(POWER(1+H6,D6-F6)*(POWER(1+H6,F6)-1)/(POWER(1+H6,D6)-1),3)),0,ROUND(POWER(1+H6,D6-F6)*(POWER(1+H6,F6)-1)/(POWER(1+H6,D6)-1),3))</f>
        <v>0</v>
      </c>
      <c r="H6" s="700"/>
      <c r="I6" s="700"/>
      <c r="J6" s="67"/>
      <c r="K6" s="1077">
        <f>SUMIF('数据-汇总表'!C$19:C$33,A6,'数据-汇总表'!E$19:E$33)</f>
        <v>11320.8</v>
      </c>
      <c r="L6" s="701"/>
      <c r="M6" s="68">
        <f t="shared" ref="M6:M14" si="0">ROUND(K6*L6/10000,0)</f>
        <v>0</v>
      </c>
      <c r="N6" s="699"/>
      <c r="O6" s="68">
        <f>IF($N$5="成新度","——",ROUND(M6*N6,0))</f>
        <v>0</v>
      </c>
      <c r="P6" s="69">
        <f>IF($N$5="成新度","——",M6-O6)</f>
        <v>0</v>
      </c>
      <c r="Q6" s="702"/>
      <c r="R6" s="70">
        <f ca="1">SUMIF('数据-汇总表'!C$19:C$33,A6,'数据-汇总表'!R$19:R$27)</f>
        <v>8778.75</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9"/>
      <c r="AO6" s="53" t="e">
        <f ca="1">SUMIF(INDIRECT("'"&amp;AN6&amp;"'"&amp;"!A:A"),"总价",INDIRECT("'"&amp;AN6&amp;"'"&amp;"!B:B"))</f>
        <v>#REF!</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1651</v>
      </c>
      <c r="B14" s="1717" t="s">
        <v>1652</v>
      </c>
      <c r="C14" s="1722"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5"/>
      <c r="AP14" s="2605"/>
      <c r="AQ14" s="2605"/>
      <c r="AR14" s="2605"/>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1653</v>
      </c>
      <c r="B15" s="1717" t="s">
        <v>1652</v>
      </c>
      <c r="C15" s="1722"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5"/>
      <c r="AP15" s="2605"/>
      <c r="AQ15" s="2605"/>
      <c r="AR15" s="2605"/>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1655</v>
      </c>
      <c r="B16" s="87"/>
      <c r="C16" s="868"/>
      <c r="D16" s="1724"/>
      <c r="E16" s="87"/>
      <c r="F16" s="87"/>
      <c r="G16" s="88" t="e">
        <f>ROUND(SUMPRODUCT(G6:G13,K6:K13)/SUMPRODUCT((G6:G13&gt;0)*(K6:K13)),3)</f>
        <v>#DIV/0!</v>
      </c>
      <c r="H16" s="89" t="e">
        <f>ROUND(SUMPRODUCT(H6:H13,K6:K13)/SUMPRODUCT((H6:H13&gt;0)*(K6:K13)),3)</f>
        <v>#DIV/0!</v>
      </c>
      <c r="I16" s="90"/>
      <c r="J16" s="90"/>
      <c r="K16" s="91">
        <f>SUM(K6:K15)</f>
        <v>11320.8</v>
      </c>
      <c r="L16" s="92">
        <f>ROUND(M16*10000/SUM(K6:K14),0)</f>
        <v>0</v>
      </c>
      <c r="M16" s="92">
        <f>SUM(M6:M14)</f>
        <v>0</v>
      </c>
      <c r="N16" s="93" t="e">
        <f>ROUND(SUMPRODUCT(M6:M14,N6:N14)/M16,3)</f>
        <v>#DIV/0!</v>
      </c>
      <c r="O16" s="92">
        <f>SUM(O6:O14)</f>
        <v>0</v>
      </c>
      <c r="P16" s="92">
        <f>SUM(P6:P14)</f>
        <v>0</v>
      </c>
      <c r="Q16" s="94" t="e">
        <f>ROUND(SUMPRODUCT(Q6:Q13,K6:K13)/SUMPRODUCT((Q6:Q13&gt;0)*(K6:K13)),2)</f>
        <v>#DIV/0!</v>
      </c>
      <c r="R16" s="1081">
        <f ca="1">SUM(R6:R13)</f>
        <v>8778.75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5"/>
      <c r="AP16" s="2605"/>
      <c r="AQ16" s="2605"/>
      <c r="AR16" s="2605"/>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5" thickBot="1">
      <c r="A18" s="61" t="s">
        <v>1656</v>
      </c>
      <c r="B18" s="2627"/>
      <c r="C18" s="2605"/>
      <c r="D18" s="2618"/>
      <c r="E18" s="2605"/>
      <c r="F18" s="2605"/>
      <c r="G18" s="2605"/>
      <c r="H18" s="2605"/>
      <c r="I18" s="2605"/>
      <c r="J18" s="2605"/>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25">
      <c r="A19" s="1726" t="s">
        <v>1657</v>
      </c>
      <c r="B19" s="102"/>
      <c r="C19" s="2729" t="s">
        <v>2807</v>
      </c>
      <c r="D19" s="2618"/>
      <c r="E19" s="2605"/>
      <c r="F19" s="2605"/>
      <c r="G19" s="2605"/>
      <c r="H19" s="2605"/>
      <c r="I19" s="2605"/>
      <c r="J19" s="2605"/>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25">
      <c r="A20" s="1727" t="s">
        <v>1658</v>
      </c>
      <c r="B20" s="103"/>
      <c r="C20" s="2730" t="s">
        <v>2805</v>
      </c>
      <c r="D20" s="2618"/>
      <c r="E20" s="2605"/>
      <c r="F20" s="2605"/>
      <c r="G20" s="2605"/>
      <c r="H20" s="2605"/>
      <c r="I20" s="2605"/>
      <c r="J20" s="2605"/>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25">
      <c r="A21" s="1728" t="s">
        <v>1659</v>
      </c>
      <c r="B21" s="103"/>
      <c r="C21" s="2605"/>
      <c r="D21" s="2618"/>
      <c r="E21" s="2605"/>
      <c r="F21" s="2605"/>
      <c r="G21" s="2605"/>
      <c r="H21" s="2605"/>
      <c r="I21" s="2605"/>
      <c r="J21" s="2605"/>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25">
      <c r="A22" s="1727" t="s">
        <v>1660</v>
      </c>
      <c r="B22" s="104">
        <f>B19+B20</f>
        <v>0</v>
      </c>
      <c r="C22" s="2605"/>
      <c r="D22" s="2618"/>
      <c r="E22" s="2605"/>
      <c r="F22" s="2605"/>
      <c r="G22" s="2605"/>
      <c r="H22" s="2605"/>
      <c r="I22" s="2605"/>
      <c r="J22" s="2605"/>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25">
      <c r="A23" s="1728" t="s">
        <v>1661</v>
      </c>
      <c r="B23" s="104">
        <f>B19+B21</f>
        <v>0</v>
      </c>
      <c r="C23" s="2605"/>
      <c r="D23" s="2618"/>
      <c r="E23" s="2605"/>
      <c r="F23" s="2605"/>
      <c r="G23" s="2605"/>
      <c r="H23" s="2605"/>
      <c r="I23" s="2605"/>
      <c r="J23" s="2605"/>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5" thickBot="1">
      <c r="A24" s="1729" t="s">
        <v>1662</v>
      </c>
      <c r="B24" s="105">
        <f>B20-B21</f>
        <v>0</v>
      </c>
      <c r="C24" s="2605"/>
      <c r="D24" s="2618"/>
      <c r="E24" s="2605"/>
      <c r="F24" s="2605"/>
      <c r="G24" s="2605"/>
      <c r="H24" s="2605"/>
      <c r="I24" s="2605"/>
      <c r="J24" s="2605"/>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5" thickBot="1">
      <c r="A25" s="1579"/>
      <c r="B25" s="1672"/>
      <c r="C25" s="2605"/>
      <c r="D25" s="2618"/>
      <c r="E25" s="2605"/>
      <c r="F25" s="2605"/>
      <c r="G25" s="2605"/>
      <c r="H25" s="2605"/>
      <c r="I25" s="2605"/>
      <c r="J25" s="2605"/>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5" thickBot="1">
      <c r="A26" s="1692" t="s">
        <v>1663</v>
      </c>
      <c r="B26" s="1730" t="s">
        <v>1664</v>
      </c>
      <c r="C26" s="2619" t="s">
        <v>1665</v>
      </c>
      <c r="D26" s="2618"/>
      <c r="E26" s="2605"/>
      <c r="F26" s="2605"/>
      <c r="G26" s="2605"/>
      <c r="H26" s="2605"/>
      <c r="I26" s="2605"/>
      <c r="J26" s="2605"/>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7.75">
      <c r="A27" s="1731" t="s">
        <v>1666</v>
      </c>
      <c r="B27" s="106"/>
      <c r="C27" s="2731" t="s">
        <v>2809</v>
      </c>
      <c r="D27" s="2621"/>
      <c r="E27" s="2606"/>
      <c r="F27" s="2606"/>
      <c r="G27" s="2605"/>
      <c r="H27" s="2605"/>
      <c r="I27" s="2605"/>
      <c r="J27" s="2605"/>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7.75">
      <c r="A28" s="1732" t="s">
        <v>1667</v>
      </c>
      <c r="B28" s="108"/>
      <c r="C28" s="2622"/>
      <c r="D28" s="2621"/>
      <c r="E28" s="2606"/>
      <c r="F28" s="2606"/>
      <c r="G28" s="2605"/>
      <c r="H28" s="2605"/>
      <c r="I28" s="2605"/>
      <c r="J28" s="2605"/>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8.5" thickBot="1">
      <c r="A29" s="1733" t="s">
        <v>1668</v>
      </c>
      <c r="B29" s="110"/>
      <c r="C29" s="2732" t="s">
        <v>2796</v>
      </c>
      <c r="D29" s="2621"/>
      <c r="E29" s="2606"/>
      <c r="F29" s="2606"/>
      <c r="G29" s="2605"/>
      <c r="H29" s="2605"/>
      <c r="I29" s="2605"/>
      <c r="J29" s="2605"/>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7">
      <c r="A30" s="1734" t="s">
        <v>1669</v>
      </c>
      <c r="B30" s="647"/>
      <c r="C30" s="2622"/>
      <c r="D30" s="2621"/>
      <c r="E30" s="2606"/>
      <c r="F30" s="2606"/>
      <c r="G30" s="2605"/>
      <c r="H30" s="2605"/>
      <c r="I30" s="2605"/>
      <c r="J30" s="2605"/>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7">
      <c r="A31" s="1732" t="s">
        <v>1670</v>
      </c>
      <c r="B31" s="109">
        <f>B30-B32</f>
        <v>0</v>
      </c>
      <c r="C31" s="2620"/>
      <c r="D31" s="2621"/>
      <c r="E31" s="2606"/>
      <c r="F31" s="2606"/>
      <c r="G31" s="2605"/>
      <c r="H31" s="2605"/>
      <c r="I31" s="2605"/>
      <c r="J31" s="2605"/>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7.75" thickBot="1">
      <c r="A32" s="1735" t="s">
        <v>1671</v>
      </c>
      <c r="B32" s="648"/>
      <c r="C32" s="2622"/>
      <c r="D32" s="2618"/>
      <c r="E32" s="2605"/>
      <c r="F32" s="2605"/>
      <c r="G32" s="2605"/>
      <c r="H32" s="2605"/>
      <c r="I32" s="2605"/>
      <c r="J32" s="2605"/>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25">
      <c r="A33" s="1731" t="s">
        <v>1672</v>
      </c>
      <c r="B33" s="649"/>
      <c r="C33" s="2733" t="s">
        <v>2797</v>
      </c>
      <c r="D33" s="2618"/>
      <c r="E33" s="2605"/>
      <c r="F33" s="2605"/>
      <c r="G33" s="2605"/>
      <c r="H33" s="2605"/>
      <c r="I33" s="2605"/>
      <c r="J33" s="2605"/>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25">
      <c r="A34" s="1732" t="s">
        <v>1673</v>
      </c>
      <c r="B34" s="111"/>
      <c r="C34" s="2733" t="s">
        <v>2798</v>
      </c>
      <c r="D34" s="2626" t="s">
        <v>2806</v>
      </c>
      <c r="E34" s="2624"/>
      <c r="F34" s="2605"/>
      <c r="G34" s="2605"/>
      <c r="H34" s="2605"/>
      <c r="I34" s="2605"/>
      <c r="J34" s="2605"/>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25">
      <c r="A35" s="1732" t="s">
        <v>1674</v>
      </c>
      <c r="B35" s="108"/>
      <c r="C35" s="2733" t="s">
        <v>2799</v>
      </c>
      <c r="D35" s="2621"/>
      <c r="E35" s="2606"/>
      <c r="F35" s="2606"/>
      <c r="G35" s="2605"/>
      <c r="H35" s="2605"/>
      <c r="I35" s="2605"/>
      <c r="J35" s="2605"/>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5" thickBot="1">
      <c r="A36" s="1733" t="s">
        <v>1675</v>
      </c>
      <c r="B36" s="112"/>
      <c r="C36" s="2733" t="s">
        <v>2800</v>
      </c>
      <c r="D36" s="2618"/>
      <c r="E36" s="2605"/>
      <c r="F36" s="2605"/>
      <c r="G36" s="2605"/>
      <c r="H36" s="2605"/>
      <c r="I36" s="2605"/>
      <c r="J36" s="2605"/>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25">
      <c r="A37" s="1734" t="s">
        <v>1676</v>
      </c>
      <c r="B37" s="113"/>
      <c r="C37" s="2733" t="s">
        <v>2801</v>
      </c>
      <c r="D37" s="2618"/>
      <c r="E37" s="2605"/>
      <c r="F37" s="2605"/>
      <c r="G37" s="2605"/>
      <c r="H37" s="2605"/>
      <c r="I37" s="2605"/>
      <c r="J37" s="2605"/>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25">
      <c r="A38" s="1732" t="s">
        <v>1677</v>
      </c>
      <c r="B38" s="111"/>
      <c r="C38" s="2733" t="s">
        <v>2801</v>
      </c>
      <c r="D38" s="2618"/>
      <c r="E38" s="2605"/>
      <c r="F38" s="2605"/>
      <c r="G38" s="2605"/>
      <c r="H38" s="2605"/>
      <c r="I38" s="2605"/>
      <c r="J38" s="2605"/>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25">
      <c r="A39" s="1735" t="s">
        <v>1678</v>
      </c>
      <c r="B39" s="315">
        <f ca="1">存贷款利率!I1</f>
        <v>1.4999999999999999E-2</v>
      </c>
      <c r="C39" s="2623"/>
      <c r="D39" s="2618"/>
      <c r="E39" s="2605"/>
      <c r="F39" s="2605"/>
      <c r="G39" s="2605"/>
      <c r="H39" s="2605"/>
      <c r="I39" s="2605"/>
      <c r="J39" s="2605"/>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15" thickBot="1">
      <c r="A40" s="2742" t="s">
        <v>2817</v>
      </c>
      <c r="B40" s="1123" t="e">
        <f ca="1">IF(A40="利息：取LPR",存贷款利率!G1,存贷款利率!G1+C40)</f>
        <v>#VALUE!</v>
      </c>
      <c r="C40" s="2741">
        <v>5.0000000000000001E-3</v>
      </c>
      <c r="D40" s="2615"/>
      <c r="E40" s="2618"/>
      <c r="F40" s="2605"/>
      <c r="G40" s="2605"/>
      <c r="H40" s="2605"/>
      <c r="I40" s="2605"/>
      <c r="J40" s="2605"/>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25">
      <c r="A41" s="1731" t="s">
        <v>1679</v>
      </c>
      <c r="B41" s="114">
        <f>B42+B43</f>
        <v>0</v>
      </c>
      <c r="C41" s="2620"/>
      <c r="D41" s="2615"/>
      <c r="E41" s="2618"/>
      <c r="F41" s="2605"/>
      <c r="G41" s="2605"/>
      <c r="H41" s="2605"/>
      <c r="I41" s="2605"/>
      <c r="J41" s="2605"/>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25">
      <c r="A42" s="1736" t="s">
        <v>1680</v>
      </c>
      <c r="B42" s="115"/>
      <c r="C42" s="2625">
        <f>IF(B2&lt;DATE(2016,5,1),0,B42)</f>
        <v>0</v>
      </c>
      <c r="D42" s="2618"/>
      <c r="E42" s="2605"/>
      <c r="F42" s="2605"/>
      <c r="G42" s="2605"/>
      <c r="H42" s="2605"/>
      <c r="I42" s="2605"/>
      <c r="J42" s="2605"/>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25">
      <c r="A43" s="1736" t="s">
        <v>1681</v>
      </c>
      <c r="B43" s="116">
        <f>B42*(B44+B45+B46)+B47</f>
        <v>0</v>
      </c>
      <c r="C43" s="2620"/>
      <c r="D43" s="2618"/>
      <c r="E43" s="2605"/>
      <c r="F43" s="2605"/>
      <c r="G43" s="2605"/>
      <c r="H43" s="2605"/>
      <c r="I43" s="2605"/>
      <c r="J43" s="2605"/>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25">
      <c r="A44" s="1737" t="s">
        <v>1682</v>
      </c>
      <c r="B44" s="117"/>
      <c r="C44" s="2733" t="s">
        <v>2810</v>
      </c>
      <c r="D44" s="2618"/>
      <c r="E44" s="2605"/>
      <c r="F44" s="2605"/>
      <c r="G44" s="2605"/>
      <c r="H44" s="2605"/>
      <c r="I44" s="2605"/>
      <c r="J44" s="2605"/>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25">
      <c r="A45" s="1737" t="s">
        <v>1683</v>
      </c>
      <c r="B45" s="115"/>
      <c r="C45" s="2732" t="s">
        <v>2802</v>
      </c>
      <c r="D45" s="2618"/>
      <c r="E45" s="2605"/>
      <c r="F45" s="2605"/>
      <c r="G45" s="2605"/>
      <c r="H45" s="2605"/>
      <c r="I45" s="2605"/>
      <c r="J45" s="2605"/>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25">
      <c r="A46" s="1737" t="s">
        <v>1684</v>
      </c>
      <c r="B46" s="115"/>
      <c r="C46" s="2732" t="s">
        <v>2803</v>
      </c>
      <c r="D46" s="2618"/>
      <c r="E46" s="2605"/>
      <c r="F46" s="2605"/>
      <c r="G46" s="2605"/>
      <c r="H46" s="2605"/>
      <c r="I46" s="2605"/>
      <c r="J46" s="2605"/>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5" thickBot="1">
      <c r="A47" s="1738" t="s">
        <v>1685</v>
      </c>
      <c r="B47" s="118"/>
      <c r="C47" s="2735" t="s">
        <v>2811</v>
      </c>
      <c r="D47" s="2618"/>
      <c r="E47" s="2605"/>
      <c r="F47" s="2605"/>
      <c r="G47" s="2605"/>
      <c r="H47" s="2605"/>
      <c r="I47" s="2605"/>
      <c r="J47" s="2605"/>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25">
      <c r="A48" s="1739" t="s">
        <v>1686</v>
      </c>
      <c r="B48" s="119"/>
      <c r="C48" s="2732" t="s">
        <v>2802</v>
      </c>
      <c r="D48" s="2618"/>
      <c r="E48" s="2605"/>
      <c r="F48" s="2605"/>
      <c r="G48" s="2605"/>
      <c r="H48" s="2605"/>
      <c r="I48" s="2605"/>
      <c r="J48" s="2605"/>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735" t="s">
        <v>1687</v>
      </c>
      <c r="B49" s="115"/>
      <c r="C49" s="2732" t="s">
        <v>2804</v>
      </c>
      <c r="D49" s="2618"/>
      <c r="E49" s="2605"/>
      <c r="F49" s="2605"/>
      <c r="G49" s="2605"/>
      <c r="H49" s="2605"/>
      <c r="I49" s="2605"/>
      <c r="J49" s="2605"/>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25">
      <c r="A50" s="1740" t="s">
        <v>1688</v>
      </c>
      <c r="B50" s="120">
        <v>1.2E-2</v>
      </c>
      <c r="C50" s="2606"/>
      <c r="D50" s="2618"/>
      <c r="E50" s="2605"/>
      <c r="F50" s="2605"/>
      <c r="G50" s="2605"/>
      <c r="H50" s="2605"/>
      <c r="I50" s="2605"/>
      <c r="J50" s="2605"/>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1689</v>
      </c>
      <c r="B51" s="121">
        <v>0.12</v>
      </c>
      <c r="C51" s="2606"/>
      <c r="D51" s="2618"/>
      <c r="E51" s="2605"/>
      <c r="F51" s="2605"/>
      <c r="G51" s="2605"/>
      <c r="H51" s="2605"/>
      <c r="I51" s="2605"/>
      <c r="J51" s="2605"/>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25">
      <c r="A52" s="1740" t="s">
        <v>1690</v>
      </c>
      <c r="B52" s="122">
        <f>SUMIF(A54:A63,B53,B54:B63)</f>
        <v>0</v>
      </c>
      <c r="C52" s="2606"/>
      <c r="D52" s="2618"/>
      <c r="E52" s="2605"/>
      <c r="F52" s="2605"/>
      <c r="G52" s="2605"/>
      <c r="H52" s="2605"/>
      <c r="I52" s="2605"/>
      <c r="J52" s="2605"/>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7">
      <c r="A53" s="1732" t="s">
        <v>1691</v>
      </c>
      <c r="B53" s="1741"/>
      <c r="C53" s="2606" t="s">
        <v>1692</v>
      </c>
      <c r="D53" s="2734" t="s">
        <v>2808</v>
      </c>
      <c r="E53" s="2605"/>
      <c r="F53" s="2605"/>
      <c r="G53" s="2605"/>
      <c r="H53" s="2605"/>
      <c r="I53" s="2605"/>
      <c r="J53" s="2605"/>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25">
      <c r="A54" s="1742" t="s">
        <v>1693</v>
      </c>
      <c r="B54" s="77"/>
      <c r="C54" s="2606">
        <v>30</v>
      </c>
      <c r="D54" s="2618"/>
      <c r="E54" s="2605"/>
      <c r="F54" s="2605"/>
      <c r="G54" s="2605"/>
      <c r="H54" s="2605"/>
      <c r="I54" s="2605"/>
      <c r="J54" s="2605"/>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25">
      <c r="A55" s="1742" t="s">
        <v>1694</v>
      </c>
      <c r="B55" s="77"/>
      <c r="C55" s="2606">
        <v>24</v>
      </c>
      <c r="D55" s="2618"/>
      <c r="E55" s="2605"/>
      <c r="F55" s="2605"/>
      <c r="G55" s="2605"/>
      <c r="H55" s="2605"/>
      <c r="I55" s="2605"/>
      <c r="J55" s="2605"/>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25">
      <c r="A56" s="1742" t="s">
        <v>1695</v>
      </c>
      <c r="B56" s="77"/>
      <c r="C56" s="2606">
        <v>18</v>
      </c>
      <c r="D56" s="2618"/>
      <c r="E56" s="2605"/>
      <c r="F56" s="2605"/>
      <c r="G56" s="2605"/>
      <c r="H56" s="2605"/>
      <c r="I56" s="2605"/>
      <c r="J56" s="2605"/>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25">
      <c r="A57" s="1742" t="s">
        <v>1696</v>
      </c>
      <c r="B57" s="77"/>
      <c r="C57" s="2606">
        <v>12</v>
      </c>
      <c r="D57" s="2618"/>
      <c r="E57" s="2605"/>
      <c r="F57" s="2605"/>
      <c r="G57" s="2605"/>
      <c r="H57" s="2605"/>
      <c r="I57" s="2605"/>
      <c r="J57" s="2605"/>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25">
      <c r="A58" s="1742" t="s">
        <v>1697</v>
      </c>
      <c r="B58" s="77"/>
      <c r="C58" s="2606">
        <v>3</v>
      </c>
      <c r="D58" s="2618"/>
      <c r="E58" s="2605"/>
      <c r="F58" s="2605"/>
      <c r="G58" s="2605"/>
      <c r="H58" s="2605"/>
      <c r="I58" s="2605"/>
      <c r="J58" s="2605"/>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25">
      <c r="A59" s="1742" t="s">
        <v>1698</v>
      </c>
      <c r="B59" s="77"/>
      <c r="C59" s="2606">
        <v>1.5</v>
      </c>
      <c r="D59" s="2618"/>
      <c r="E59" s="2605"/>
      <c r="F59" s="2605"/>
      <c r="G59" s="2605"/>
      <c r="H59" s="2605"/>
      <c r="I59" s="2605"/>
      <c r="J59" s="2605"/>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25">
      <c r="A60" s="1742" t="s">
        <v>1699</v>
      </c>
      <c r="B60" s="77"/>
      <c r="C60" s="2605"/>
      <c r="D60" s="2618"/>
      <c r="E60" s="2605"/>
      <c r="F60" s="2605"/>
      <c r="G60" s="2605"/>
      <c r="H60" s="2605"/>
      <c r="I60" s="2605"/>
      <c r="J60" s="2605"/>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25">
      <c r="A61" s="1742" t="s">
        <v>1700</v>
      </c>
      <c r="B61" s="77"/>
      <c r="C61" s="2605"/>
      <c r="D61" s="2618"/>
      <c r="E61" s="2605"/>
      <c r="F61" s="2605"/>
      <c r="G61" s="2605"/>
      <c r="H61" s="2605"/>
      <c r="I61" s="2605"/>
      <c r="J61" s="2605"/>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25">
      <c r="A62" s="1742" t="s">
        <v>1701</v>
      </c>
      <c r="B62" s="77"/>
      <c r="C62" s="2605"/>
      <c r="D62" s="2618"/>
      <c r="E62" s="2605"/>
      <c r="F62" s="2605"/>
      <c r="G62" s="2605"/>
      <c r="H62" s="2605"/>
      <c r="I62" s="2605"/>
      <c r="J62" s="2605"/>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743" t="s">
        <v>1702</v>
      </c>
      <c r="B63" s="123"/>
      <c r="C63" s="2605"/>
      <c r="D63" s="2618"/>
      <c r="E63" s="2605"/>
      <c r="F63" s="2605"/>
      <c r="G63" s="2605"/>
      <c r="H63" s="2605"/>
      <c r="I63" s="2605"/>
      <c r="J63" s="2605"/>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8"/>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8"/>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8"/>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8"/>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8"/>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42" customWidth="1"/>
    <col min="9" max="9" width="16.875" style="2442" customWidth="1"/>
    <col min="10" max="10" width="2.625" style="2442" customWidth="1"/>
    <col min="11" max="11" width="11.875" style="2442" customWidth="1"/>
    <col min="12" max="12" width="16.875" style="2442" customWidth="1"/>
    <col min="13" max="13" width="2.625" style="2442" customWidth="1"/>
    <col min="14" max="14" width="11.875" style="2442" customWidth="1"/>
    <col min="15" max="15" width="16.875" style="2442" customWidth="1"/>
    <col min="16" max="16" width="2.625" style="2442" customWidth="1"/>
    <col min="17" max="17" width="11.875" style="2442" customWidth="1"/>
    <col min="18" max="18" width="16.875" style="835" customWidth="1"/>
    <col min="19" max="29" width="9" style="835"/>
    <col min="30" max="16384" width="9" style="1652"/>
  </cols>
  <sheetData>
    <row r="1" spans="1:29" s="2424" customFormat="1" ht="18.75" thickBot="1">
      <c r="A1" s="3084" t="s">
        <v>2788</v>
      </c>
      <c r="B1" s="3085"/>
      <c r="C1" s="3085"/>
      <c r="D1" s="3085"/>
      <c r="E1" s="3085"/>
      <c r="F1" s="3085"/>
      <c r="G1" s="3085"/>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5" thickBot="1">
      <c r="A2" s="2425"/>
      <c r="B2" s="2426"/>
      <c r="C2" s="2427" t="s">
        <v>2783</v>
      </c>
      <c r="D2" s="1725"/>
      <c r="E2" s="2425"/>
      <c r="F2" s="2428"/>
      <c r="G2" s="2427" t="s">
        <v>2784</v>
      </c>
      <c r="H2" s="835"/>
      <c r="I2" s="835"/>
      <c r="J2" s="835"/>
      <c r="K2" s="835"/>
      <c r="L2" s="835"/>
      <c r="M2" s="835"/>
      <c r="N2" s="835"/>
      <c r="O2" s="835"/>
      <c r="P2" s="835"/>
      <c r="Q2" s="835"/>
    </row>
    <row r="3" spans="1:29" ht="48">
      <c r="A3" s="2412" t="s">
        <v>2785</v>
      </c>
      <c r="B3" s="2429" t="s">
        <v>2754</v>
      </c>
      <c r="C3" s="2430" t="s">
        <v>2786</v>
      </c>
      <c r="D3" s="2431"/>
      <c r="E3" s="2413" t="s">
        <v>2785</v>
      </c>
      <c r="F3" s="2432" t="s">
        <v>2755</v>
      </c>
      <c r="G3" s="2433" t="s">
        <v>2787</v>
      </c>
      <c r="H3" s="835"/>
      <c r="I3" s="835"/>
      <c r="J3" s="835"/>
      <c r="K3" s="835"/>
      <c r="L3" s="835"/>
      <c r="M3" s="835"/>
      <c r="N3" s="835"/>
      <c r="O3" s="835"/>
      <c r="P3" s="835"/>
      <c r="Q3" s="835"/>
    </row>
    <row r="4" spans="1:29" ht="36.75">
      <c r="A4" s="2413"/>
      <c r="B4" s="321" t="s">
        <v>2756</v>
      </c>
      <c r="C4" s="2434" t="s">
        <v>2757</v>
      </c>
      <c r="D4" s="2431"/>
      <c r="E4" s="2435"/>
      <c r="F4" s="1410" t="s">
        <v>2758</v>
      </c>
      <c r="G4" s="2436" t="s">
        <v>2759</v>
      </c>
      <c r="H4" s="835"/>
      <c r="I4" s="835"/>
      <c r="J4" s="835"/>
      <c r="K4" s="835"/>
      <c r="L4" s="835"/>
      <c r="M4" s="835"/>
      <c r="N4" s="835"/>
      <c r="O4" s="835"/>
      <c r="P4" s="835"/>
      <c r="Q4" s="835"/>
    </row>
    <row r="5" spans="1:29" ht="36.75">
      <c r="A5" s="2413"/>
      <c r="B5" s="321" t="s">
        <v>2760</v>
      </c>
      <c r="C5" s="2434" t="s">
        <v>2761</v>
      </c>
      <c r="D5" s="2431"/>
      <c r="E5" s="2435"/>
      <c r="F5" s="321" t="s">
        <v>2762</v>
      </c>
      <c r="G5" s="2436" t="s">
        <v>2763</v>
      </c>
      <c r="H5" s="835"/>
      <c r="I5" s="835"/>
      <c r="J5" s="835"/>
      <c r="K5" s="835"/>
      <c r="L5" s="835"/>
      <c r="M5" s="835"/>
      <c r="N5" s="835"/>
      <c r="O5" s="835"/>
      <c r="P5" s="835"/>
      <c r="Q5" s="835"/>
    </row>
    <row r="6" spans="1:29" ht="36">
      <c r="A6" s="2413"/>
      <c r="B6" s="321" t="s">
        <v>2764</v>
      </c>
      <c r="C6" s="2436" t="s">
        <v>2759</v>
      </c>
      <c r="D6" s="2431"/>
      <c r="E6" s="2435"/>
      <c r="F6" s="321" t="s">
        <v>2765</v>
      </c>
      <c r="G6" s="2436" t="s">
        <v>2766</v>
      </c>
      <c r="H6" s="835"/>
      <c r="I6" s="835"/>
      <c r="J6" s="835"/>
      <c r="K6" s="835"/>
      <c r="L6" s="835"/>
      <c r="M6" s="835"/>
      <c r="N6" s="835"/>
      <c r="O6" s="835"/>
      <c r="P6" s="835"/>
      <c r="Q6" s="835"/>
    </row>
    <row r="7" spans="1:29" ht="24.75" thickBot="1">
      <c r="A7" s="2413"/>
      <c r="B7" s="321" t="s">
        <v>2762</v>
      </c>
      <c r="C7" s="2436" t="s">
        <v>2763</v>
      </c>
      <c r="D7" s="2410"/>
      <c r="E7" s="2437"/>
      <c r="F7" s="2438" t="s">
        <v>2767</v>
      </c>
      <c r="G7" s="2439" t="s">
        <v>2768</v>
      </c>
      <c r="H7" s="835"/>
      <c r="I7" s="835"/>
      <c r="J7" s="835"/>
      <c r="K7" s="835"/>
      <c r="L7" s="835"/>
      <c r="M7" s="835"/>
      <c r="N7" s="835"/>
      <c r="O7" s="835"/>
      <c r="P7" s="835"/>
      <c r="Q7" s="835"/>
    </row>
    <row r="8" spans="1:29">
      <c r="A8" s="2413"/>
      <c r="B8" s="321" t="s">
        <v>2765</v>
      </c>
      <c r="C8" s="2436" t="s">
        <v>2766</v>
      </c>
      <c r="D8" s="2410"/>
      <c r="E8" s="2410"/>
      <c r="F8" s="126"/>
      <c r="G8" s="126"/>
      <c r="H8" s="835"/>
      <c r="I8" s="835"/>
      <c r="J8" s="835"/>
      <c r="K8" s="835"/>
      <c r="L8" s="835"/>
      <c r="M8" s="835"/>
      <c r="N8" s="835"/>
      <c r="O8" s="835"/>
      <c r="P8" s="835"/>
      <c r="Q8" s="835"/>
    </row>
    <row r="9" spans="1:29" ht="24">
      <c r="A9" s="2413"/>
      <c r="B9" s="321" t="s">
        <v>2769</v>
      </c>
      <c r="C9" s="2434" t="s">
        <v>2770</v>
      </c>
      <c r="D9" s="2431"/>
      <c r="E9" s="2410"/>
      <c r="F9" s="126"/>
      <c r="G9" s="126"/>
      <c r="H9" s="835"/>
      <c r="I9" s="835"/>
      <c r="J9" s="835"/>
      <c r="K9" s="835"/>
      <c r="L9" s="835"/>
      <c r="M9" s="835"/>
      <c r="N9" s="835"/>
      <c r="O9" s="835"/>
      <c r="P9" s="835"/>
      <c r="Q9" s="835"/>
    </row>
    <row r="10" spans="1:29" ht="15" thickBot="1">
      <c r="A10" s="2414"/>
      <c r="B10" s="2440" t="s">
        <v>2771</v>
      </c>
      <c r="C10" s="2441"/>
      <c r="D10" s="2431"/>
      <c r="E10" s="2431"/>
      <c r="F10" s="126"/>
      <c r="G10" s="126"/>
      <c r="J10" s="2443"/>
      <c r="M10" s="2443"/>
      <c r="P10" s="2443"/>
      <c r="R10" s="2442"/>
    </row>
    <row r="11" spans="1:29">
      <c r="A11" s="2444"/>
      <c r="B11" s="2410"/>
      <c r="C11" s="2431"/>
      <c r="D11" s="2431"/>
      <c r="E11" s="2431"/>
      <c r="F11" s="2410"/>
      <c r="G11" s="2410"/>
      <c r="J11" s="2443"/>
      <c r="M11" s="2443"/>
      <c r="P11" s="2443"/>
      <c r="R11" s="2442"/>
    </row>
    <row r="12" spans="1:29" s="2424" customFormat="1" ht="18">
      <c r="A12" s="2444"/>
      <c r="B12" s="2410"/>
      <c r="C12" s="2431"/>
      <c r="D12" s="2445"/>
      <c r="E12" s="2431"/>
      <c r="F12" s="2410"/>
      <c r="G12" s="2410"/>
      <c r="H12" s="2446"/>
      <c r="I12" s="2446"/>
      <c r="J12" s="2446"/>
      <c r="K12" s="2446"/>
      <c r="L12" s="2447"/>
      <c r="M12" s="2446"/>
      <c r="N12" s="2448"/>
      <c r="O12" s="2448"/>
      <c r="P12" s="2448"/>
      <c r="Q12" s="2448"/>
      <c r="R12" s="2423"/>
      <c r="S12" s="2423"/>
      <c r="T12" s="2423"/>
      <c r="U12" s="2423"/>
      <c r="V12" s="2423"/>
      <c r="W12" s="2423"/>
      <c r="X12" s="2423"/>
      <c r="Y12" s="2423"/>
      <c r="Z12" s="2423"/>
      <c r="AA12" s="2423"/>
      <c r="AB12" s="2423"/>
      <c r="AC12" s="2423"/>
    </row>
    <row r="13" spans="1:29" ht="15.75" thickBot="1">
      <c r="A13" s="2449" t="s">
        <v>2789</v>
      </c>
      <c r="B13" s="2445"/>
      <c r="C13" s="2445"/>
      <c r="D13" s="2444"/>
      <c r="E13" s="2445"/>
      <c r="F13" s="2445"/>
      <c r="G13" s="2445"/>
    </row>
    <row r="14" spans="1:29" ht="15" thickBot="1">
      <c r="A14" s="2450"/>
      <c r="B14" s="2450"/>
      <c r="C14" s="2451" t="s">
        <v>2772</v>
      </c>
      <c r="D14" s="2431"/>
      <c r="E14" s="2452"/>
      <c r="F14" s="2452"/>
      <c r="G14" s="2427" t="s">
        <v>2773</v>
      </c>
    </row>
    <row r="15" spans="1:29" ht="51">
      <c r="A15" s="2415" t="s">
        <v>2774</v>
      </c>
      <c r="B15" s="2453" t="s">
        <v>2754</v>
      </c>
      <c r="C15" s="2454" t="str">
        <f>C3</f>
        <v>估价对象周边居住用地比例、居住小区规模和社区发展完善程度，综合评价居住社区成熟度一般</v>
      </c>
      <c r="D15" s="2431"/>
      <c r="E15" s="2416" t="s">
        <v>2775</v>
      </c>
      <c r="F15" s="2453" t="s">
        <v>2776</v>
      </c>
      <c r="G15" s="2455" t="str">
        <f>G3</f>
        <v>估价对象位于XX开发区，园区建设成熟度XX，产业集聚程度XX</v>
      </c>
    </row>
    <row r="16" spans="1:29" ht="38.25">
      <c r="A16" s="2417"/>
      <c r="B16" s="2456" t="s">
        <v>2756</v>
      </c>
      <c r="C16" s="2457" t="str">
        <f>C4</f>
        <v>估价对象位于XX商圈，周边商业氛围成熟，人流量大，商业繁华度好</v>
      </c>
      <c r="D16" s="2431"/>
      <c r="E16" s="2418"/>
      <c r="F16" s="2458" t="s">
        <v>2758</v>
      </c>
      <c r="G16" s="2459" t="str">
        <f>G4</f>
        <v>估价对象周边道路状况、公共交通通达情况、停车便捷程度，综合评价交通便捷度较好</v>
      </c>
    </row>
    <row r="17" spans="1:17" ht="38.25">
      <c r="A17" s="2417"/>
      <c r="B17" s="2456" t="s">
        <v>2760</v>
      </c>
      <c r="C17" s="2457" t="str">
        <f>C5</f>
        <v>估价对象位于XX商圈，周边办公楼项目较多，入驻率高，办公集聚程度较好</v>
      </c>
      <c r="D17" s="2410"/>
      <c r="E17" s="2418"/>
      <c r="F17" s="2458" t="s">
        <v>2777</v>
      </c>
      <c r="G17" s="2460"/>
    </row>
    <row r="18" spans="1:17" ht="38.25">
      <c r="A18" s="2417"/>
      <c r="B18" s="2458" t="s">
        <v>2764</v>
      </c>
      <c r="C18" s="2459" t="str">
        <f>C6</f>
        <v>估价对象周边道路状况、公共交通通达情况、停车便捷程度，综合评价交通便捷度较好</v>
      </c>
      <c r="D18" s="2410"/>
      <c r="E18" s="2418"/>
      <c r="F18" s="2458" t="s">
        <v>2767</v>
      </c>
      <c r="G18" s="2459" t="str">
        <f>G7</f>
        <v>该园区内是否有污染型企业，绿化情况，卫生条件，整体环境状况判断</v>
      </c>
    </row>
    <row r="19" spans="1:17" ht="25.5">
      <c r="A19" s="2417"/>
      <c r="B19" s="2458" t="s">
        <v>2778</v>
      </c>
      <c r="C19" s="2460"/>
      <c r="D19" s="2431"/>
      <c r="E19" s="2418"/>
      <c r="F19" s="321" t="s">
        <v>2762</v>
      </c>
      <c r="G19" s="2459" t="str">
        <f>G5</f>
        <v>估价对象所在区域公共配套设施齐备情况</v>
      </c>
    </row>
    <row r="20" spans="1:17" ht="25.5">
      <c r="A20" s="2417"/>
      <c r="B20" s="2458" t="s">
        <v>2779</v>
      </c>
      <c r="C20" s="2457" t="str">
        <f>C9</f>
        <v>区域自然环境：；人文环境；综合评价环境状况一般</v>
      </c>
      <c r="D20" s="2410"/>
      <c r="E20" s="2418"/>
      <c r="F20" s="321" t="s">
        <v>2765</v>
      </c>
      <c r="G20" s="2459" t="str">
        <f>G6</f>
        <v>估价对象所在区域基础设施水平</v>
      </c>
    </row>
    <row r="21" spans="1:17" ht="25.5">
      <c r="A21" s="2417"/>
      <c r="B21" s="321" t="s">
        <v>2762</v>
      </c>
      <c r="C21" s="2459" t="str">
        <f>C7</f>
        <v>估价对象所在区域公共配套设施齐备情况</v>
      </c>
      <c r="D21" s="2431"/>
      <c r="E21" s="2418"/>
      <c r="F21" s="2458" t="s">
        <v>2780</v>
      </c>
      <c r="G21" s="2461"/>
    </row>
    <row r="22" spans="1:17" ht="13.5" customHeight="1">
      <c r="A22" s="2417"/>
      <c r="B22" s="321" t="s">
        <v>2765</v>
      </c>
      <c r="C22" s="2459" t="str">
        <f>C8</f>
        <v>估价对象所在区域基础设施水平</v>
      </c>
      <c r="D22" s="2431"/>
      <c r="E22" s="2418"/>
      <c r="F22" s="2458" t="s">
        <v>2771</v>
      </c>
      <c r="G22" s="2460"/>
    </row>
    <row r="23" spans="1:17" s="835" customFormat="1" ht="15" thickBot="1">
      <c r="A23" s="2417"/>
      <c r="B23" s="2458" t="s">
        <v>2780</v>
      </c>
      <c r="C23" s="2461"/>
      <c r="D23" s="1744"/>
      <c r="E23" s="2419"/>
      <c r="F23" s="2462" t="s">
        <v>2781</v>
      </c>
      <c r="G23" s="2463"/>
      <c r="H23" s="2442"/>
      <c r="I23" s="2442"/>
      <c r="J23" s="2442"/>
      <c r="K23" s="2442"/>
      <c r="L23" s="2442"/>
      <c r="M23" s="2442"/>
      <c r="N23" s="2442"/>
      <c r="O23" s="2442"/>
      <c r="P23" s="2442"/>
      <c r="Q23" s="2442"/>
    </row>
    <row r="24" spans="1:17" s="835" customFormat="1" ht="15" thickBot="1">
      <c r="A24" s="2420"/>
      <c r="B24" s="2462" t="s">
        <v>2782</v>
      </c>
      <c r="C24" s="2464">
        <f>C10</f>
        <v>0</v>
      </c>
      <c r="D24" s="1744"/>
      <c r="E24" s="2410"/>
      <c r="F24" s="2410"/>
      <c r="G24" s="2410"/>
      <c r="H24" s="2442"/>
      <c r="I24" s="2442"/>
      <c r="J24" s="2442"/>
      <c r="K24" s="2442"/>
      <c r="L24" s="2442"/>
      <c r="M24" s="2442"/>
      <c r="N24" s="2442"/>
      <c r="O24" s="2442"/>
      <c r="P24" s="2442"/>
      <c r="Q24" s="2442"/>
    </row>
    <row r="25" spans="1:17" s="835" customFormat="1">
      <c r="B25" s="2442"/>
      <c r="C25" s="2442"/>
      <c r="D25" s="2442"/>
      <c r="H25" s="2442"/>
      <c r="I25" s="2442"/>
      <c r="J25" s="2442"/>
      <c r="K25" s="2442"/>
      <c r="L25" s="2442"/>
      <c r="M25" s="2442"/>
      <c r="N25" s="2442"/>
      <c r="O25" s="2442"/>
      <c r="P25" s="2442"/>
      <c r="Q25" s="2442"/>
    </row>
    <row r="26" spans="1:17" s="835" customFormat="1">
      <c r="B26" s="2442"/>
      <c r="C26" s="2442"/>
      <c r="D26" s="2442"/>
      <c r="H26" s="2442"/>
      <c r="I26" s="2442"/>
      <c r="J26" s="2442"/>
      <c r="K26" s="2442"/>
      <c r="L26" s="2442"/>
      <c r="M26" s="2442"/>
      <c r="N26" s="2442"/>
      <c r="O26" s="2442"/>
      <c r="P26" s="2442"/>
      <c r="Q26" s="2442"/>
    </row>
    <row r="27" spans="1:17" s="835" customFormat="1">
      <c r="B27" s="2442"/>
      <c r="C27" s="2442"/>
      <c r="D27" s="2442"/>
      <c r="H27" s="2442"/>
      <c r="I27" s="2442"/>
      <c r="J27" s="2442"/>
      <c r="K27" s="2442"/>
      <c r="L27" s="2442"/>
      <c r="M27" s="2442"/>
      <c r="N27" s="2442"/>
      <c r="O27" s="2442"/>
      <c r="P27" s="2442"/>
      <c r="Q27" s="2442"/>
    </row>
    <row r="28" spans="1:17" s="835" customFormat="1">
      <c r="B28" s="2442"/>
      <c r="C28" s="2442"/>
      <c r="D28" s="2442"/>
      <c r="H28" s="2442"/>
      <c r="I28" s="2442"/>
      <c r="J28" s="2442"/>
      <c r="K28" s="2442"/>
      <c r="L28" s="2442"/>
      <c r="M28" s="2442"/>
      <c r="N28" s="2442"/>
      <c r="O28" s="2442"/>
      <c r="P28" s="2442"/>
      <c r="Q28" s="2442"/>
    </row>
    <row r="29" spans="1:17" s="835" customFormat="1">
      <c r="B29" s="2442"/>
      <c r="C29" s="2442"/>
      <c r="D29" s="2442"/>
      <c r="H29" s="2442"/>
      <c r="I29" s="2442"/>
      <c r="J29" s="2442"/>
      <c r="K29" s="2442"/>
      <c r="L29" s="2442"/>
      <c r="M29" s="2442"/>
      <c r="N29" s="2442"/>
      <c r="O29" s="2442"/>
      <c r="P29" s="2442"/>
      <c r="Q29" s="2442"/>
    </row>
    <row r="30" spans="1:17" s="835" customFormat="1">
      <c r="B30" s="2442"/>
      <c r="C30" s="2442"/>
      <c r="D30" s="2442"/>
      <c r="H30" s="2442"/>
      <c r="I30" s="2442"/>
      <c r="J30" s="2442"/>
      <c r="K30" s="2442"/>
      <c r="L30" s="2442"/>
      <c r="M30" s="2442"/>
      <c r="N30" s="2442"/>
      <c r="O30" s="2442"/>
      <c r="P30" s="2442"/>
      <c r="Q30" s="2442"/>
    </row>
    <row r="31" spans="1:17" s="835" customFormat="1">
      <c r="B31" s="2442"/>
      <c r="C31" s="2442"/>
      <c r="D31" s="2442"/>
      <c r="H31" s="2442"/>
      <c r="I31" s="2442"/>
      <c r="J31" s="2442"/>
      <c r="K31" s="2442"/>
      <c r="L31" s="2442"/>
      <c r="M31" s="2442"/>
      <c r="N31" s="2442"/>
      <c r="O31" s="2442"/>
      <c r="P31" s="2442"/>
      <c r="Q31" s="2442"/>
    </row>
    <row r="32" spans="1:17" s="835" customFormat="1">
      <c r="B32" s="2442"/>
      <c r="C32" s="2442"/>
      <c r="D32" s="2442"/>
      <c r="H32" s="2442"/>
      <c r="I32" s="2442"/>
      <c r="J32" s="2442"/>
      <c r="K32" s="2442"/>
      <c r="L32" s="2442"/>
      <c r="M32" s="2442"/>
      <c r="N32" s="2442"/>
      <c r="O32" s="2442"/>
      <c r="P32" s="2442"/>
      <c r="Q32" s="2442"/>
    </row>
    <row r="33" spans="2:17" s="835" customFormat="1">
      <c r="B33" s="2442"/>
      <c r="C33" s="2442"/>
      <c r="D33" s="2442"/>
      <c r="H33" s="2442"/>
      <c r="I33" s="2442"/>
      <c r="J33" s="2442"/>
      <c r="K33" s="2442"/>
      <c r="L33" s="2442"/>
      <c r="M33" s="2442"/>
      <c r="N33" s="2442"/>
      <c r="O33" s="2442"/>
      <c r="P33" s="2442"/>
      <c r="Q33" s="2442"/>
    </row>
    <row r="34" spans="2:17" s="835" customFormat="1">
      <c r="B34" s="2442"/>
      <c r="C34" s="2442"/>
      <c r="D34" s="2442"/>
      <c r="H34" s="2442"/>
      <c r="I34" s="2442"/>
      <c r="J34" s="2442"/>
      <c r="K34" s="2442"/>
      <c r="L34" s="2442"/>
      <c r="M34" s="2442"/>
      <c r="N34" s="2442"/>
      <c r="O34" s="2442"/>
      <c r="P34" s="2442"/>
      <c r="Q34" s="2442"/>
    </row>
    <row r="35" spans="2:17" s="835" customFormat="1">
      <c r="B35" s="2442"/>
      <c r="C35" s="2442"/>
      <c r="D35" s="2442"/>
      <c r="H35" s="2442"/>
      <c r="I35" s="2442"/>
      <c r="J35" s="2442"/>
      <c r="K35" s="2442"/>
      <c r="L35" s="2442"/>
      <c r="M35" s="2442"/>
      <c r="N35" s="2442"/>
      <c r="O35" s="2442"/>
      <c r="P35" s="2442"/>
      <c r="Q35" s="2442"/>
    </row>
    <row r="36" spans="2:17" s="835" customFormat="1">
      <c r="B36" s="2442"/>
      <c r="C36" s="2442"/>
      <c r="D36" s="2442"/>
      <c r="H36" s="2442"/>
      <c r="I36" s="2442"/>
      <c r="J36" s="2442"/>
      <c r="K36" s="2442"/>
      <c r="L36" s="2442"/>
      <c r="M36" s="2442"/>
      <c r="N36" s="2442"/>
      <c r="O36" s="2442"/>
      <c r="P36" s="2442"/>
      <c r="Q36" s="2442"/>
    </row>
    <row r="37" spans="2:17" s="835" customFormat="1">
      <c r="B37" s="2442"/>
      <c r="C37" s="2442"/>
      <c r="D37" s="2442"/>
      <c r="H37" s="2442"/>
      <c r="I37" s="2442"/>
      <c r="J37" s="2442"/>
      <c r="K37" s="2442"/>
      <c r="L37" s="2442"/>
      <c r="M37" s="2442"/>
      <c r="N37" s="2442"/>
      <c r="O37" s="2442"/>
      <c r="P37" s="2442"/>
      <c r="Q37" s="2442"/>
    </row>
    <row r="38" spans="2:17" s="835" customFormat="1">
      <c r="B38" s="2442"/>
      <c r="C38" s="2442"/>
      <c r="D38" s="2442"/>
      <c r="E38" s="2442"/>
      <c r="F38" s="2442"/>
      <c r="G38" s="2442"/>
      <c r="H38" s="2442"/>
      <c r="I38" s="2442"/>
      <c r="J38" s="2442"/>
      <c r="K38" s="2442"/>
      <c r="L38" s="2442"/>
      <c r="M38" s="2442"/>
      <c r="N38" s="2442"/>
      <c r="O38" s="2442"/>
      <c r="P38" s="2442"/>
      <c r="Q38" s="2442"/>
    </row>
    <row r="39" spans="2:17" s="835" customFormat="1">
      <c r="B39" s="2442"/>
      <c r="C39" s="2442"/>
      <c r="D39" s="2442"/>
      <c r="E39" s="2442"/>
      <c r="F39" s="2442"/>
      <c r="G39" s="2442"/>
      <c r="H39" s="2442"/>
      <c r="I39" s="2442"/>
      <c r="J39" s="2442"/>
      <c r="K39" s="2442"/>
      <c r="L39" s="2442"/>
      <c r="M39" s="2442"/>
      <c r="N39" s="2442"/>
      <c r="O39" s="2442"/>
      <c r="P39" s="2442"/>
      <c r="Q39" s="2442"/>
    </row>
    <row r="40" spans="2:17" s="835" customFormat="1">
      <c r="B40" s="2442"/>
      <c r="C40" s="2442"/>
      <c r="D40" s="2442"/>
      <c r="E40" s="2442"/>
      <c r="F40" s="2442"/>
      <c r="G40" s="2442"/>
      <c r="H40" s="2442"/>
      <c r="I40" s="2442"/>
      <c r="J40" s="2442"/>
      <c r="K40" s="2442"/>
      <c r="L40" s="2442"/>
      <c r="M40" s="2442"/>
      <c r="N40" s="2442"/>
      <c r="O40" s="2442"/>
      <c r="P40" s="2442"/>
      <c r="Q40" s="2442"/>
    </row>
    <row r="41" spans="2:17" s="835" customFormat="1">
      <c r="B41" s="2442"/>
      <c r="C41" s="2442"/>
      <c r="D41" s="2442"/>
      <c r="E41" s="2442"/>
      <c r="F41" s="2442"/>
      <c r="G41" s="2442"/>
      <c r="H41" s="2442"/>
      <c r="I41" s="2442"/>
      <c r="J41" s="2442"/>
      <c r="K41" s="2442"/>
      <c r="L41" s="2442"/>
      <c r="M41" s="2442"/>
      <c r="N41" s="2442"/>
      <c r="O41" s="2442"/>
      <c r="P41" s="2442"/>
      <c r="Q41" s="2442"/>
    </row>
    <row r="42" spans="2:17" s="835" customFormat="1">
      <c r="B42" s="2442"/>
      <c r="C42" s="2442"/>
      <c r="D42" s="2442"/>
      <c r="E42" s="2442"/>
      <c r="F42" s="2442"/>
      <c r="G42" s="2442"/>
      <c r="H42" s="2442"/>
      <c r="I42" s="2442"/>
      <c r="J42" s="2442"/>
      <c r="K42" s="2442"/>
      <c r="L42" s="2442"/>
      <c r="M42" s="2442"/>
      <c r="N42" s="2442"/>
      <c r="O42" s="2442"/>
      <c r="P42" s="2442"/>
      <c r="Q42" s="2442"/>
    </row>
    <row r="43" spans="2:17" s="835" customFormat="1">
      <c r="B43" s="2442"/>
      <c r="C43" s="2442"/>
      <c r="D43" s="2442"/>
      <c r="E43" s="2442"/>
      <c r="F43" s="2442"/>
      <c r="G43" s="2442"/>
      <c r="H43" s="2442"/>
      <c r="I43" s="2442"/>
      <c r="J43" s="2442"/>
      <c r="K43" s="2442"/>
      <c r="L43" s="2442"/>
      <c r="M43" s="2442"/>
      <c r="N43" s="2442"/>
      <c r="O43" s="2442"/>
      <c r="P43" s="2442"/>
      <c r="Q43" s="2442"/>
    </row>
    <row r="44" spans="2:17" s="835" customFormat="1">
      <c r="B44" s="2442"/>
      <c r="C44" s="2442"/>
      <c r="D44" s="2442"/>
      <c r="E44" s="2442"/>
      <c r="F44" s="2442"/>
      <c r="G44" s="2442"/>
      <c r="H44" s="2442"/>
      <c r="I44" s="2442"/>
      <c r="J44" s="2442"/>
      <c r="K44" s="2442"/>
      <c r="L44" s="2442"/>
      <c r="M44" s="2442"/>
      <c r="N44" s="2442"/>
      <c r="O44" s="2442"/>
      <c r="P44" s="2442"/>
      <c r="Q44" s="2442"/>
    </row>
    <row r="45" spans="2:17" s="835" customFormat="1">
      <c r="B45" s="2442"/>
      <c r="C45" s="2442"/>
      <c r="D45" s="2442"/>
      <c r="E45" s="2442"/>
      <c r="F45" s="2442"/>
      <c r="G45" s="2442"/>
      <c r="H45" s="2442"/>
      <c r="I45" s="2442"/>
      <c r="J45" s="2442"/>
      <c r="K45" s="2442"/>
      <c r="L45" s="2442"/>
      <c r="M45" s="2442"/>
      <c r="N45" s="2442"/>
      <c r="O45" s="2442"/>
      <c r="P45" s="2442"/>
      <c r="Q45" s="2442"/>
    </row>
    <row r="46" spans="2:17" s="835" customFormat="1">
      <c r="B46" s="2442"/>
      <c r="C46" s="2442"/>
      <c r="D46" s="2442"/>
      <c r="E46" s="2442"/>
      <c r="F46" s="2442"/>
      <c r="G46" s="2442"/>
      <c r="H46" s="2442"/>
      <c r="I46" s="2442"/>
      <c r="J46" s="2442"/>
      <c r="K46" s="2442"/>
      <c r="L46" s="2442"/>
      <c r="M46" s="2442"/>
      <c r="N46" s="2442"/>
      <c r="O46" s="2442"/>
      <c r="P46" s="2442"/>
      <c r="Q46" s="2442"/>
    </row>
    <row r="47" spans="2:17" s="835" customFormat="1">
      <c r="B47" s="2442"/>
      <c r="C47" s="2442"/>
      <c r="D47" s="2442"/>
      <c r="E47" s="2442"/>
      <c r="F47" s="2442"/>
      <c r="G47" s="2442"/>
      <c r="H47" s="2442"/>
      <c r="I47" s="2442"/>
      <c r="J47" s="2442"/>
      <c r="K47" s="2442"/>
      <c r="L47" s="2442"/>
      <c r="M47" s="2442"/>
      <c r="N47" s="2442"/>
      <c r="O47" s="2442"/>
      <c r="P47" s="2442"/>
      <c r="Q47" s="2442"/>
    </row>
    <row r="48" spans="2:17" s="835" customFormat="1">
      <c r="B48" s="2442"/>
      <c r="C48" s="2442"/>
      <c r="D48" s="2442"/>
      <c r="E48" s="2442"/>
      <c r="F48" s="2442"/>
      <c r="G48" s="2442"/>
      <c r="H48" s="2442"/>
      <c r="I48" s="2442"/>
      <c r="J48" s="2442"/>
      <c r="K48" s="2442"/>
      <c r="L48" s="2442"/>
      <c r="M48" s="2442"/>
      <c r="N48" s="2442"/>
      <c r="O48" s="2442"/>
      <c r="P48" s="2442"/>
      <c r="Q48" s="2442"/>
    </row>
    <row r="49" spans="2:17" s="835" customFormat="1">
      <c r="B49" s="2442"/>
      <c r="C49" s="2442"/>
      <c r="D49" s="2442"/>
      <c r="E49" s="2442"/>
      <c r="F49" s="2442"/>
      <c r="G49" s="2442"/>
      <c r="H49" s="2442"/>
      <c r="I49" s="2442"/>
      <c r="J49" s="2442"/>
      <c r="K49" s="2442"/>
      <c r="L49" s="2442"/>
      <c r="M49" s="2442"/>
      <c r="N49" s="2442"/>
      <c r="O49" s="2442"/>
      <c r="P49" s="2442"/>
      <c r="Q49" s="2442"/>
    </row>
    <row r="50" spans="2:17" s="835" customFormat="1">
      <c r="B50" s="2442"/>
      <c r="C50" s="2442"/>
      <c r="D50" s="2442"/>
      <c r="E50" s="2442"/>
      <c r="F50" s="2442"/>
      <c r="G50" s="2442"/>
      <c r="H50" s="2442"/>
      <c r="I50" s="2442"/>
      <c r="J50" s="2442"/>
      <c r="K50" s="2442"/>
      <c r="L50" s="2442"/>
      <c r="M50" s="2442"/>
      <c r="N50" s="2442"/>
      <c r="O50" s="2442"/>
      <c r="P50" s="2442"/>
      <c r="Q50" s="2442"/>
    </row>
    <row r="51" spans="2:17" s="835" customFormat="1">
      <c r="B51" s="2442"/>
      <c r="C51" s="2442"/>
      <c r="D51" s="2442"/>
      <c r="E51" s="2442"/>
      <c r="F51" s="2442"/>
      <c r="G51" s="2442"/>
      <c r="H51" s="2442"/>
      <c r="I51" s="2442"/>
      <c r="J51" s="2442"/>
      <c r="K51" s="2442"/>
      <c r="L51" s="2442"/>
      <c r="M51" s="2442"/>
      <c r="N51" s="2442"/>
      <c r="O51" s="2442"/>
      <c r="P51" s="2442"/>
      <c r="Q51" s="2442"/>
    </row>
    <row r="52" spans="2:17" s="835" customFormat="1">
      <c r="B52" s="2442"/>
      <c r="C52" s="2442"/>
      <c r="D52" s="2442"/>
      <c r="E52" s="2442"/>
      <c r="F52" s="2442"/>
      <c r="G52" s="2442"/>
      <c r="H52" s="2442"/>
      <c r="I52" s="2442"/>
      <c r="J52" s="2442"/>
      <c r="K52" s="2442"/>
      <c r="L52" s="2442"/>
      <c r="M52" s="2442"/>
      <c r="N52" s="2442"/>
      <c r="O52" s="2442"/>
      <c r="P52" s="2442"/>
      <c r="Q52" s="2442"/>
    </row>
    <row r="53" spans="2:17" s="835" customFormat="1">
      <c r="B53" s="2442"/>
      <c r="C53" s="2442"/>
      <c r="D53" s="2442"/>
      <c r="E53" s="2442"/>
      <c r="F53" s="2442"/>
      <c r="G53" s="2442"/>
      <c r="H53" s="2442"/>
      <c r="I53" s="2442"/>
      <c r="J53" s="2442"/>
      <c r="K53" s="2442"/>
      <c r="L53" s="2442"/>
      <c r="M53" s="2442"/>
      <c r="N53" s="2442"/>
      <c r="O53" s="2442"/>
      <c r="P53" s="2442"/>
      <c r="Q53" s="2442"/>
    </row>
    <row r="54" spans="2:17" s="835" customFormat="1">
      <c r="B54" s="2442"/>
      <c r="C54" s="2442"/>
      <c r="D54" s="2442"/>
      <c r="E54" s="2442"/>
      <c r="F54" s="2442"/>
      <c r="G54" s="2442"/>
      <c r="H54" s="2442"/>
      <c r="I54" s="2442"/>
      <c r="J54" s="2442"/>
      <c r="K54" s="2442"/>
      <c r="L54" s="2442"/>
      <c r="M54" s="2442"/>
      <c r="N54" s="2442"/>
      <c r="O54" s="2442"/>
      <c r="P54" s="2442"/>
      <c r="Q54" s="2442"/>
    </row>
    <row r="55" spans="2:17" s="835" customFormat="1">
      <c r="B55" s="2442"/>
      <c r="C55" s="2442"/>
      <c r="D55" s="2442"/>
      <c r="E55" s="2442"/>
      <c r="F55" s="2442"/>
      <c r="G55" s="2442"/>
      <c r="H55" s="2442"/>
      <c r="I55" s="2442"/>
      <c r="J55" s="2442"/>
      <c r="K55" s="2442"/>
      <c r="L55" s="2442"/>
      <c r="M55" s="2442"/>
      <c r="N55" s="2442"/>
      <c r="O55" s="2442"/>
      <c r="P55" s="2442"/>
      <c r="Q55" s="2442"/>
    </row>
    <row r="56" spans="2:17" s="835" customFormat="1">
      <c r="B56" s="2442"/>
      <c r="C56" s="2442"/>
      <c r="D56" s="2442"/>
      <c r="E56" s="2442"/>
      <c r="F56" s="2442"/>
      <c r="G56" s="2442"/>
      <c r="H56" s="2442"/>
      <c r="I56" s="2442"/>
      <c r="J56" s="2442"/>
      <c r="K56" s="2442"/>
      <c r="L56" s="2442"/>
      <c r="M56" s="2442"/>
      <c r="N56" s="2442"/>
      <c r="O56" s="2442"/>
      <c r="P56" s="2442"/>
      <c r="Q56" s="2442"/>
    </row>
    <row r="57" spans="2:17" s="835" customFormat="1">
      <c r="B57" s="2442"/>
      <c r="C57" s="2442"/>
      <c r="D57" s="2442"/>
      <c r="E57" s="2442"/>
      <c r="F57" s="2442"/>
      <c r="G57" s="2442"/>
      <c r="H57" s="2442"/>
      <c r="I57" s="2442"/>
      <c r="J57" s="2442"/>
      <c r="K57" s="2442"/>
      <c r="L57" s="2442"/>
      <c r="M57" s="2442"/>
      <c r="N57" s="2442"/>
      <c r="O57" s="2442"/>
      <c r="P57" s="2442"/>
      <c r="Q57" s="2442"/>
    </row>
    <row r="58" spans="2:17" s="835" customFormat="1">
      <c r="B58" s="2442"/>
      <c r="C58" s="2442"/>
      <c r="D58" s="2442"/>
      <c r="E58" s="2442"/>
      <c r="F58" s="2442"/>
      <c r="G58" s="2442"/>
      <c r="H58" s="2442"/>
      <c r="I58" s="2442"/>
      <c r="J58" s="2442"/>
      <c r="K58" s="2442"/>
      <c r="L58" s="2442"/>
      <c r="M58" s="2442"/>
      <c r="N58" s="2442"/>
      <c r="O58" s="2442"/>
      <c r="P58" s="2442"/>
      <c r="Q58" s="2442"/>
    </row>
    <row r="59" spans="2:17" s="835" customFormat="1">
      <c r="B59" s="2442"/>
      <c r="C59" s="2442"/>
      <c r="D59" s="2442"/>
      <c r="E59" s="2442"/>
      <c r="F59" s="2442"/>
      <c r="G59" s="2442"/>
      <c r="H59" s="2442"/>
      <c r="I59" s="2442"/>
      <c r="J59" s="2442"/>
      <c r="K59" s="2442"/>
      <c r="L59" s="2442"/>
      <c r="M59" s="2442"/>
      <c r="N59" s="2442"/>
      <c r="O59" s="2442"/>
      <c r="P59" s="2442"/>
      <c r="Q59" s="2442"/>
    </row>
    <row r="60" spans="2:17" s="835" customFormat="1">
      <c r="B60" s="2442"/>
      <c r="C60" s="2442"/>
      <c r="D60" s="2442"/>
      <c r="E60" s="2442"/>
      <c r="F60" s="2442"/>
      <c r="G60" s="2442"/>
      <c r="H60" s="2442"/>
      <c r="I60" s="2442"/>
      <c r="J60" s="2442"/>
      <c r="K60" s="2442"/>
      <c r="L60" s="2442"/>
      <c r="M60" s="2442"/>
      <c r="N60" s="2442"/>
      <c r="O60" s="2442"/>
      <c r="P60" s="2442"/>
      <c r="Q60" s="2442"/>
    </row>
    <row r="61" spans="2:17" s="835" customFormat="1">
      <c r="B61" s="2442"/>
      <c r="C61" s="2442"/>
      <c r="D61" s="2442"/>
      <c r="E61" s="2442"/>
      <c r="F61" s="2442"/>
      <c r="G61" s="2442"/>
      <c r="H61" s="2442"/>
      <c r="I61" s="2442"/>
      <c r="J61" s="2442"/>
      <c r="K61" s="2442"/>
      <c r="L61" s="2442"/>
      <c r="M61" s="2442"/>
      <c r="N61" s="2442"/>
      <c r="O61" s="2442"/>
      <c r="P61" s="2442"/>
      <c r="Q61" s="2442"/>
    </row>
    <row r="62" spans="2:17" s="835" customFormat="1">
      <c r="B62" s="2442"/>
      <c r="C62" s="2442"/>
      <c r="D62" s="2442"/>
      <c r="E62" s="2442"/>
      <c r="F62" s="2442"/>
      <c r="G62" s="2442"/>
      <c r="H62" s="2442"/>
      <c r="I62" s="2442"/>
      <c r="J62" s="2442"/>
      <c r="K62" s="2442"/>
      <c r="L62" s="2442"/>
      <c r="M62" s="2442"/>
      <c r="N62" s="2442"/>
      <c r="O62" s="2442"/>
      <c r="P62" s="2442"/>
      <c r="Q62" s="2442"/>
    </row>
    <row r="63" spans="2:17" s="835" customFormat="1">
      <c r="B63" s="2442"/>
      <c r="C63" s="2442"/>
      <c r="D63" s="2442"/>
      <c r="E63" s="2442"/>
      <c r="F63" s="2442"/>
      <c r="G63" s="2442"/>
      <c r="H63" s="2442"/>
      <c r="I63" s="2442"/>
      <c r="J63" s="2442"/>
      <c r="K63" s="2442"/>
      <c r="L63" s="2442"/>
      <c r="M63" s="2442"/>
      <c r="N63" s="2442"/>
      <c r="O63" s="2442"/>
      <c r="P63" s="2442"/>
      <c r="Q63" s="2442"/>
    </row>
    <row r="64" spans="2:17" s="835" customFormat="1">
      <c r="B64" s="2442"/>
      <c r="C64" s="2442"/>
      <c r="D64" s="2442"/>
      <c r="E64" s="2442"/>
      <c r="F64" s="2442"/>
      <c r="G64" s="2442"/>
      <c r="H64" s="2442"/>
      <c r="I64" s="2442"/>
      <c r="J64" s="2442"/>
      <c r="K64" s="2442"/>
      <c r="L64" s="2442"/>
      <c r="M64" s="2442"/>
      <c r="N64" s="2442"/>
      <c r="O64" s="2442"/>
      <c r="P64" s="2442"/>
      <c r="Q64" s="2442"/>
    </row>
    <row r="65" spans="2:17" s="835" customFormat="1">
      <c r="B65" s="2442"/>
      <c r="C65" s="2442"/>
      <c r="D65" s="2442"/>
      <c r="E65" s="2442"/>
      <c r="F65" s="2442"/>
      <c r="G65" s="2442"/>
      <c r="H65" s="2442"/>
      <c r="I65" s="2442"/>
      <c r="J65" s="2442"/>
      <c r="K65" s="2442"/>
      <c r="L65" s="2442"/>
      <c r="M65" s="2442"/>
      <c r="N65" s="2442"/>
      <c r="O65" s="2442"/>
      <c r="P65" s="2442"/>
      <c r="Q65" s="2442"/>
    </row>
    <row r="66" spans="2:17" s="835" customFormat="1">
      <c r="B66" s="2442"/>
      <c r="C66" s="2442"/>
      <c r="D66" s="2442"/>
      <c r="E66" s="2442"/>
      <c r="F66" s="2442"/>
      <c r="G66" s="2442"/>
      <c r="H66" s="2442"/>
      <c r="I66" s="2442"/>
      <c r="J66" s="2442"/>
      <c r="K66" s="2442"/>
      <c r="L66" s="2442"/>
      <c r="M66" s="2442"/>
      <c r="N66" s="2442"/>
      <c r="O66" s="2442"/>
      <c r="P66" s="2442"/>
      <c r="Q66" s="2442"/>
    </row>
    <row r="67" spans="2:17" s="835" customFormat="1">
      <c r="B67" s="2442"/>
      <c r="C67" s="2442"/>
      <c r="D67" s="2442"/>
      <c r="E67" s="2442"/>
      <c r="F67" s="2442"/>
      <c r="G67" s="2442"/>
      <c r="H67" s="2442"/>
      <c r="I67" s="2442"/>
      <c r="J67" s="2442"/>
      <c r="K67" s="2442"/>
      <c r="L67" s="2442"/>
      <c r="M67" s="2442"/>
      <c r="N67" s="2442"/>
      <c r="O67" s="2442"/>
      <c r="P67" s="2442"/>
      <c r="Q67" s="2442"/>
    </row>
    <row r="68" spans="2:17" s="835" customFormat="1">
      <c r="B68" s="2442"/>
      <c r="C68" s="2442"/>
      <c r="D68" s="2442"/>
      <c r="E68" s="2442"/>
      <c r="F68" s="2442"/>
      <c r="G68" s="2442"/>
      <c r="H68" s="2442"/>
      <c r="I68" s="2442"/>
      <c r="J68" s="2442"/>
      <c r="K68" s="2442"/>
      <c r="L68" s="2442"/>
      <c r="M68" s="2442"/>
      <c r="N68" s="2442"/>
      <c r="O68" s="2442"/>
      <c r="P68" s="2442"/>
      <c r="Q68" s="2442"/>
    </row>
    <row r="69" spans="2:17" s="835" customFormat="1">
      <c r="B69" s="2442"/>
      <c r="C69" s="2442"/>
      <c r="D69" s="2442"/>
      <c r="E69" s="2442"/>
      <c r="F69" s="2442"/>
      <c r="G69" s="2442"/>
      <c r="H69" s="2442"/>
      <c r="I69" s="2442"/>
      <c r="J69" s="2442"/>
      <c r="K69" s="2442"/>
      <c r="L69" s="2442"/>
      <c r="M69" s="2442"/>
      <c r="N69" s="2442"/>
      <c r="O69" s="2442"/>
      <c r="P69" s="2442"/>
      <c r="Q69" s="2442"/>
    </row>
    <row r="70" spans="2:17" s="835" customFormat="1">
      <c r="B70" s="2442"/>
      <c r="C70" s="2442"/>
      <c r="D70" s="2442"/>
      <c r="E70" s="2442"/>
      <c r="F70" s="2442"/>
      <c r="G70" s="2442"/>
      <c r="H70" s="2442"/>
      <c r="I70" s="2442"/>
      <c r="J70" s="2442"/>
      <c r="K70" s="2442"/>
      <c r="L70" s="2442"/>
      <c r="M70" s="2442"/>
      <c r="N70" s="2442"/>
      <c r="O70" s="2442"/>
      <c r="P70" s="2442"/>
      <c r="Q70" s="2442"/>
    </row>
    <row r="71" spans="2:17" s="835" customFormat="1">
      <c r="B71" s="2442"/>
      <c r="C71" s="2442"/>
      <c r="D71" s="2442"/>
      <c r="E71" s="2442"/>
      <c r="F71" s="2442"/>
      <c r="G71" s="2442"/>
      <c r="H71" s="2442"/>
      <c r="I71" s="2442"/>
      <c r="J71" s="2442"/>
      <c r="K71" s="2442"/>
      <c r="L71" s="2442"/>
      <c r="M71" s="2442"/>
      <c r="N71" s="2442"/>
      <c r="O71" s="2442"/>
      <c r="P71" s="2442"/>
      <c r="Q71" s="2442"/>
    </row>
    <row r="72" spans="2:17" s="835" customFormat="1">
      <c r="B72" s="2442"/>
      <c r="C72" s="2442"/>
      <c r="D72" s="2442"/>
      <c r="E72" s="2442"/>
      <c r="F72" s="2442"/>
      <c r="G72" s="2442"/>
      <c r="H72" s="2442"/>
      <c r="I72" s="2442"/>
      <c r="J72" s="2442"/>
      <c r="K72" s="2442"/>
      <c r="L72" s="2442"/>
      <c r="M72" s="2442"/>
      <c r="N72" s="2442"/>
      <c r="O72" s="2442"/>
      <c r="P72" s="2442"/>
      <c r="Q72" s="2442"/>
    </row>
    <row r="73" spans="2:17" s="835" customFormat="1">
      <c r="B73" s="2442"/>
      <c r="C73" s="2442"/>
      <c r="D73" s="2442"/>
      <c r="E73" s="2442"/>
      <c r="F73" s="2442"/>
      <c r="G73" s="2442"/>
      <c r="H73" s="2442"/>
      <c r="I73" s="2442"/>
      <c r="J73" s="2442"/>
      <c r="K73" s="2442"/>
      <c r="L73" s="2442"/>
      <c r="M73" s="2442"/>
      <c r="N73" s="2442"/>
      <c r="O73" s="2442"/>
      <c r="P73" s="2442"/>
      <c r="Q73" s="2442"/>
    </row>
    <row r="74" spans="2:17" s="835" customFormat="1">
      <c r="B74" s="2442"/>
      <c r="C74" s="2442"/>
      <c r="D74" s="2442"/>
      <c r="E74" s="2442"/>
      <c r="F74" s="2442"/>
      <c r="G74" s="2442"/>
      <c r="H74" s="2442"/>
      <c r="I74" s="2442"/>
      <c r="J74" s="2442"/>
      <c r="K74" s="2442"/>
      <c r="L74" s="2442"/>
      <c r="M74" s="2442"/>
      <c r="N74" s="2442"/>
      <c r="O74" s="2442"/>
      <c r="P74" s="2442"/>
      <c r="Q74" s="2442"/>
    </row>
    <row r="75" spans="2:17" s="835" customFormat="1">
      <c r="B75" s="2442"/>
      <c r="C75" s="2442"/>
      <c r="D75" s="2442"/>
      <c r="E75" s="2442"/>
      <c r="F75" s="2442"/>
      <c r="G75" s="2442"/>
      <c r="H75" s="2442"/>
      <c r="I75" s="2442"/>
      <c r="J75" s="2442"/>
      <c r="K75" s="2442"/>
      <c r="L75" s="2442"/>
      <c r="M75" s="2442"/>
      <c r="N75" s="2442"/>
      <c r="O75" s="2442"/>
      <c r="P75" s="2442"/>
      <c r="Q75" s="2442"/>
    </row>
    <row r="76" spans="2:17" s="835" customFormat="1">
      <c r="B76" s="2442"/>
      <c r="C76" s="2442"/>
      <c r="D76" s="2442"/>
      <c r="E76" s="2442"/>
      <c r="F76" s="2442"/>
      <c r="G76" s="2442"/>
      <c r="H76" s="2442"/>
      <c r="I76" s="2442"/>
      <c r="J76" s="2442"/>
      <c r="K76" s="2442"/>
      <c r="L76" s="2442"/>
      <c r="M76" s="2442"/>
      <c r="N76" s="2442"/>
      <c r="O76" s="2442"/>
      <c r="P76" s="2442"/>
      <c r="Q76" s="2442"/>
    </row>
    <row r="77" spans="2:17" s="835" customFormat="1">
      <c r="B77" s="2442"/>
      <c r="C77" s="2442"/>
      <c r="D77" s="2442"/>
      <c r="E77" s="2442"/>
      <c r="F77" s="2442"/>
      <c r="G77" s="2442"/>
      <c r="H77" s="2442"/>
      <c r="I77" s="2442"/>
      <c r="J77" s="2442"/>
      <c r="K77" s="2442"/>
      <c r="L77" s="2442"/>
      <c r="M77" s="2442"/>
      <c r="N77" s="2442"/>
      <c r="O77" s="2442"/>
      <c r="P77" s="2442"/>
      <c r="Q77" s="2442"/>
    </row>
    <row r="78" spans="2:17" s="835" customFormat="1">
      <c r="B78" s="2442"/>
      <c r="C78" s="2442"/>
      <c r="D78" s="2442"/>
      <c r="E78" s="2442"/>
      <c r="F78" s="2442"/>
      <c r="G78" s="2442"/>
      <c r="H78" s="2442"/>
      <c r="I78" s="2442"/>
      <c r="J78" s="2442"/>
      <c r="K78" s="2442"/>
      <c r="L78" s="2442"/>
      <c r="M78" s="2442"/>
      <c r="N78" s="2442"/>
      <c r="O78" s="2442"/>
      <c r="P78" s="2442"/>
      <c r="Q78" s="2442"/>
    </row>
    <row r="79" spans="2:17" s="835" customFormat="1">
      <c r="B79" s="2442"/>
      <c r="C79" s="2442"/>
      <c r="D79" s="2442"/>
      <c r="E79" s="2442"/>
      <c r="F79" s="2442"/>
      <c r="G79" s="2442"/>
      <c r="H79" s="2442"/>
      <c r="I79" s="2442"/>
      <c r="J79" s="2442"/>
      <c r="K79" s="2442"/>
      <c r="L79" s="2442"/>
      <c r="M79" s="2442"/>
      <c r="N79" s="2442"/>
      <c r="O79" s="2442"/>
      <c r="P79" s="2442"/>
      <c r="Q79" s="2442"/>
    </row>
    <row r="80" spans="2:17" s="835" customFormat="1">
      <c r="B80" s="2442"/>
      <c r="C80" s="2442"/>
      <c r="D80" s="2442"/>
      <c r="E80" s="2442"/>
      <c r="F80" s="2442"/>
      <c r="G80" s="2442"/>
      <c r="H80" s="2442"/>
      <c r="I80" s="2442"/>
      <c r="J80" s="2442"/>
      <c r="K80" s="2442"/>
      <c r="L80" s="2442"/>
      <c r="M80" s="2442"/>
      <c r="N80" s="2442"/>
      <c r="O80" s="2442"/>
      <c r="P80" s="2442"/>
      <c r="Q80" s="2442"/>
    </row>
    <row r="81" spans="2:17" s="835" customFormat="1">
      <c r="B81" s="2442"/>
      <c r="C81" s="2442"/>
      <c r="D81" s="2442"/>
      <c r="E81" s="2442"/>
      <c r="F81" s="2442"/>
      <c r="G81" s="2442"/>
      <c r="H81" s="2442"/>
      <c r="I81" s="2442"/>
      <c r="J81" s="2442"/>
      <c r="K81" s="2442"/>
      <c r="L81" s="2442"/>
      <c r="M81" s="2442"/>
      <c r="N81" s="2442"/>
      <c r="O81" s="2442"/>
      <c r="P81" s="2442"/>
      <c r="Q81" s="2442"/>
    </row>
    <row r="82" spans="2:17" s="835" customFormat="1">
      <c r="B82" s="2442"/>
      <c r="C82" s="2442"/>
      <c r="D82" s="2442"/>
      <c r="E82" s="2442"/>
      <c r="F82" s="2442"/>
      <c r="G82" s="2442"/>
      <c r="H82" s="2442"/>
      <c r="I82" s="2442"/>
      <c r="J82" s="2442"/>
      <c r="K82" s="2442"/>
      <c r="L82" s="2442"/>
      <c r="M82" s="2442"/>
      <c r="N82" s="2442"/>
      <c r="O82" s="2442"/>
      <c r="P82" s="2442"/>
      <c r="Q82" s="2442"/>
    </row>
    <row r="83" spans="2:17" s="835" customFormat="1">
      <c r="B83" s="2442"/>
      <c r="C83" s="2442"/>
      <c r="D83" s="2442"/>
      <c r="E83" s="2442"/>
      <c r="F83" s="2442"/>
      <c r="G83" s="2442"/>
      <c r="H83" s="2442"/>
      <c r="I83" s="2442"/>
      <c r="J83" s="2442"/>
      <c r="K83" s="2442"/>
      <c r="L83" s="2442"/>
      <c r="M83" s="2442"/>
      <c r="N83" s="2442"/>
      <c r="O83" s="2442"/>
      <c r="P83" s="2442"/>
      <c r="Q83" s="2442"/>
    </row>
    <row r="84" spans="2:17" s="835" customFormat="1">
      <c r="B84" s="2442"/>
      <c r="C84" s="2442"/>
      <c r="D84" s="2442"/>
      <c r="E84" s="2442"/>
      <c r="F84" s="2442"/>
      <c r="G84" s="2442"/>
      <c r="H84" s="2442"/>
      <c r="I84" s="2442"/>
      <c r="J84" s="2442"/>
      <c r="K84" s="2442"/>
      <c r="L84" s="2442"/>
      <c r="M84" s="2442"/>
      <c r="N84" s="2442"/>
      <c r="O84" s="2442"/>
      <c r="P84" s="2442"/>
      <c r="Q84" s="2442"/>
    </row>
    <row r="85" spans="2:17" s="835" customFormat="1">
      <c r="B85" s="2442"/>
      <c r="C85" s="2442"/>
      <c r="D85" s="2442"/>
      <c r="E85" s="2442"/>
      <c r="F85" s="2442"/>
      <c r="G85" s="2442"/>
      <c r="H85" s="2442"/>
      <c r="I85" s="2442"/>
      <c r="J85" s="2442"/>
      <c r="K85" s="2442"/>
      <c r="L85" s="2442"/>
      <c r="M85" s="2442"/>
      <c r="N85" s="2442"/>
      <c r="O85" s="2442"/>
      <c r="P85" s="2442"/>
      <c r="Q85" s="2442"/>
    </row>
    <row r="86" spans="2:17" s="835" customFormat="1">
      <c r="B86" s="2442"/>
      <c r="C86" s="2442"/>
      <c r="D86" s="2442"/>
      <c r="E86" s="2442"/>
      <c r="F86" s="2442"/>
      <c r="G86" s="2442"/>
      <c r="H86" s="2442"/>
      <c r="I86" s="2442"/>
      <c r="J86" s="2442"/>
      <c r="K86" s="2442"/>
      <c r="L86" s="2442"/>
      <c r="M86" s="2442"/>
      <c r="N86" s="2442"/>
      <c r="O86" s="2442"/>
      <c r="P86" s="2442"/>
      <c r="Q86" s="2442"/>
    </row>
    <row r="87" spans="2:17" s="835" customFormat="1">
      <c r="B87" s="2442"/>
      <c r="C87" s="2442"/>
      <c r="D87" s="2442"/>
      <c r="E87" s="2442"/>
      <c r="F87" s="2442"/>
      <c r="G87" s="2442"/>
      <c r="H87" s="2442"/>
      <c r="I87" s="2442"/>
      <c r="J87" s="2442"/>
      <c r="K87" s="2442"/>
      <c r="L87" s="2442"/>
      <c r="M87" s="2442"/>
      <c r="N87" s="2442"/>
      <c r="O87" s="2442"/>
      <c r="P87" s="2442"/>
      <c r="Q87" s="2442"/>
    </row>
    <row r="88" spans="2:17" s="835" customFormat="1">
      <c r="B88" s="2442"/>
      <c r="C88" s="2442"/>
      <c r="D88" s="2442"/>
      <c r="E88" s="2442"/>
      <c r="F88" s="2442"/>
      <c r="G88" s="2442"/>
      <c r="H88" s="2442"/>
      <c r="I88" s="2442"/>
      <c r="J88" s="2442"/>
      <c r="K88" s="2442"/>
      <c r="L88" s="2442"/>
      <c r="M88" s="2442"/>
      <c r="N88" s="2442"/>
      <c r="O88" s="2442"/>
      <c r="P88" s="2442"/>
      <c r="Q88" s="2442"/>
    </row>
    <row r="89" spans="2:17" s="835" customFormat="1">
      <c r="B89" s="2442"/>
      <c r="C89" s="2442"/>
      <c r="D89" s="2442"/>
      <c r="E89" s="2442"/>
      <c r="F89" s="2442"/>
      <c r="G89" s="2442"/>
      <c r="H89" s="2442"/>
      <c r="I89" s="2442"/>
      <c r="J89" s="2442"/>
      <c r="K89" s="2442"/>
      <c r="L89" s="2442"/>
      <c r="M89" s="2442"/>
      <c r="N89" s="2442"/>
      <c r="O89" s="2442"/>
      <c r="P89" s="2442"/>
      <c r="Q89" s="2442"/>
    </row>
    <row r="90" spans="2:17" s="835" customFormat="1">
      <c r="B90" s="2442"/>
      <c r="C90" s="2442"/>
      <c r="D90" s="2442"/>
      <c r="E90" s="2442"/>
      <c r="F90" s="2442"/>
      <c r="G90" s="2442"/>
      <c r="H90" s="2442"/>
      <c r="I90" s="2442"/>
      <c r="J90" s="2442"/>
      <c r="K90" s="2442"/>
      <c r="L90" s="2442"/>
      <c r="M90" s="2442"/>
      <c r="N90" s="2442"/>
      <c r="O90" s="2442"/>
      <c r="P90" s="2442"/>
      <c r="Q90" s="2442"/>
    </row>
    <row r="91" spans="2:17" s="835" customFormat="1">
      <c r="B91" s="2442"/>
      <c r="C91" s="2442"/>
      <c r="D91" s="2442"/>
      <c r="E91" s="2442"/>
      <c r="F91" s="2442"/>
      <c r="G91" s="2442"/>
      <c r="H91" s="2442"/>
      <c r="I91" s="2442"/>
      <c r="J91" s="2442"/>
      <c r="K91" s="2442"/>
      <c r="L91" s="2442"/>
      <c r="M91" s="2442"/>
      <c r="N91" s="2442"/>
      <c r="O91" s="2442"/>
      <c r="P91" s="2442"/>
      <c r="Q91" s="2442"/>
    </row>
    <row r="92" spans="2:17" s="835" customFormat="1">
      <c r="B92" s="2442"/>
      <c r="C92" s="2442"/>
      <c r="D92" s="2442"/>
      <c r="E92" s="2442"/>
      <c r="F92" s="2442"/>
      <c r="G92" s="2442"/>
      <c r="H92" s="2442"/>
      <c r="I92" s="2442"/>
      <c r="J92" s="2442"/>
      <c r="K92" s="2442"/>
      <c r="L92" s="2442"/>
      <c r="M92" s="2442"/>
      <c r="N92" s="2442"/>
      <c r="O92" s="2442"/>
      <c r="P92" s="2442"/>
      <c r="Q92" s="2442"/>
    </row>
    <row r="93" spans="2:17" s="835" customFormat="1">
      <c r="B93" s="2442"/>
      <c r="C93" s="2442"/>
      <c r="D93" s="2442"/>
      <c r="E93" s="2442"/>
      <c r="F93" s="2442"/>
      <c r="G93" s="2442"/>
      <c r="H93" s="2442"/>
      <c r="I93" s="2442"/>
      <c r="J93" s="2442"/>
      <c r="K93" s="2442"/>
      <c r="L93" s="2442"/>
      <c r="M93" s="2442"/>
      <c r="N93" s="2442"/>
      <c r="O93" s="2442"/>
      <c r="P93" s="2442"/>
      <c r="Q93" s="2442"/>
    </row>
    <row r="94" spans="2:17" s="835" customFormat="1">
      <c r="B94" s="2442"/>
      <c r="C94" s="2442"/>
      <c r="D94" s="2442"/>
      <c r="E94" s="2442"/>
      <c r="F94" s="2442"/>
      <c r="G94" s="2442"/>
      <c r="H94" s="2442"/>
      <c r="I94" s="2442"/>
      <c r="J94" s="2442"/>
      <c r="K94" s="2442"/>
      <c r="L94" s="2442"/>
      <c r="M94" s="2442"/>
      <c r="N94" s="2442"/>
      <c r="O94" s="2442"/>
      <c r="P94" s="2442"/>
      <c r="Q94" s="2442"/>
    </row>
    <row r="95" spans="2:17" s="835" customFormat="1">
      <c r="B95" s="2442"/>
      <c r="C95" s="2442"/>
      <c r="D95" s="2442"/>
      <c r="E95" s="2442"/>
      <c r="F95" s="2442"/>
      <c r="G95" s="2442"/>
      <c r="H95" s="2442"/>
      <c r="I95" s="2442"/>
      <c r="J95" s="2442"/>
      <c r="K95" s="2442"/>
      <c r="L95" s="2442"/>
      <c r="M95" s="2442"/>
      <c r="N95" s="2442"/>
      <c r="O95" s="2442"/>
      <c r="P95" s="2442"/>
      <c r="Q95" s="2442"/>
    </row>
    <row r="96" spans="2:17" s="835" customFormat="1">
      <c r="B96" s="2442"/>
      <c r="C96" s="2442"/>
      <c r="D96" s="2442"/>
      <c r="E96" s="2442"/>
      <c r="F96" s="2442"/>
      <c r="G96" s="2442"/>
      <c r="H96" s="2442"/>
      <c r="I96" s="2442"/>
      <c r="J96" s="2442"/>
      <c r="K96" s="2442"/>
      <c r="L96" s="2442"/>
      <c r="M96" s="2442"/>
      <c r="N96" s="2442"/>
      <c r="O96" s="2442"/>
      <c r="P96" s="2442"/>
      <c r="Q96" s="2442"/>
    </row>
    <row r="97" spans="2:17" s="835" customFormat="1">
      <c r="B97" s="2442"/>
      <c r="C97" s="2442"/>
      <c r="D97" s="2442"/>
      <c r="E97" s="2442"/>
      <c r="F97" s="2442"/>
      <c r="G97" s="2442"/>
      <c r="H97" s="2442"/>
      <c r="I97" s="2442"/>
      <c r="J97" s="2442"/>
      <c r="K97" s="2442"/>
      <c r="L97" s="2442"/>
      <c r="M97" s="2442"/>
      <c r="N97" s="2442"/>
      <c r="O97" s="2442"/>
      <c r="P97" s="2442"/>
      <c r="Q97" s="2442"/>
    </row>
    <row r="98" spans="2:17" s="835" customFormat="1">
      <c r="B98" s="2442"/>
      <c r="C98" s="2442"/>
      <c r="D98" s="2442"/>
      <c r="E98" s="2442"/>
      <c r="F98" s="2442"/>
      <c r="G98" s="2442"/>
      <c r="H98" s="2442"/>
      <c r="I98" s="2442"/>
      <c r="J98" s="2442"/>
      <c r="K98" s="2442"/>
      <c r="L98" s="2442"/>
      <c r="M98" s="2442"/>
      <c r="N98" s="2442"/>
      <c r="O98" s="2442"/>
      <c r="P98" s="2442"/>
      <c r="Q98" s="2442"/>
    </row>
    <row r="99" spans="2:17" s="835" customFormat="1">
      <c r="B99" s="2442"/>
      <c r="C99" s="2442"/>
      <c r="D99" s="2442"/>
      <c r="E99" s="2442"/>
      <c r="F99" s="2442"/>
      <c r="G99" s="2442"/>
      <c r="H99" s="2442"/>
      <c r="I99" s="2442"/>
      <c r="J99" s="2442"/>
      <c r="K99" s="2442"/>
      <c r="L99" s="2442"/>
      <c r="M99" s="2442"/>
      <c r="N99" s="2442"/>
      <c r="O99" s="2442"/>
      <c r="P99" s="2442"/>
      <c r="Q99" s="2442"/>
    </row>
    <row r="100" spans="2:17" s="835" customFormat="1">
      <c r="B100" s="2442"/>
      <c r="C100" s="2442"/>
      <c r="D100" s="2442"/>
      <c r="E100" s="2442"/>
      <c r="F100" s="2442"/>
      <c r="G100" s="2442"/>
      <c r="H100" s="2442"/>
      <c r="I100" s="2442"/>
      <c r="J100" s="2442"/>
      <c r="K100" s="2442"/>
      <c r="L100" s="2442"/>
      <c r="M100" s="2442"/>
      <c r="N100" s="2442"/>
      <c r="O100" s="2442"/>
      <c r="P100" s="2442"/>
      <c r="Q100" s="2442"/>
    </row>
    <row r="101" spans="2:17" s="835" customFormat="1">
      <c r="B101" s="2442"/>
      <c r="C101" s="2442"/>
      <c r="D101" s="2442"/>
      <c r="E101" s="2442"/>
      <c r="F101" s="2442"/>
      <c r="G101" s="2442"/>
      <c r="H101" s="2442"/>
      <c r="I101" s="2442"/>
      <c r="J101" s="2442"/>
      <c r="K101" s="2442"/>
      <c r="L101" s="2442"/>
      <c r="M101" s="2442"/>
      <c r="N101" s="2442"/>
      <c r="O101" s="2442"/>
      <c r="P101" s="2442"/>
      <c r="Q101" s="2442"/>
    </row>
    <row r="102" spans="2:17" s="835" customFormat="1">
      <c r="B102" s="2442"/>
      <c r="C102" s="2442"/>
      <c r="D102" s="2442"/>
      <c r="E102" s="2442"/>
      <c r="F102" s="2442"/>
      <c r="G102" s="2442"/>
      <c r="H102" s="2442"/>
      <c r="I102" s="2442"/>
      <c r="J102" s="2442"/>
      <c r="K102" s="2442"/>
      <c r="L102" s="2442"/>
      <c r="M102" s="2442"/>
      <c r="N102" s="2442"/>
      <c r="O102" s="2442"/>
      <c r="P102" s="2442"/>
      <c r="Q102" s="2442"/>
    </row>
    <row r="103" spans="2:17" s="835" customFormat="1">
      <c r="B103" s="2442"/>
      <c r="C103" s="2442"/>
      <c r="D103" s="2442"/>
      <c r="E103" s="2442"/>
      <c r="F103" s="2442"/>
      <c r="G103" s="2442"/>
      <c r="H103" s="2442"/>
      <c r="I103" s="2442"/>
      <c r="J103" s="2442"/>
      <c r="K103" s="2442"/>
      <c r="L103" s="2442"/>
      <c r="M103" s="2442"/>
      <c r="N103" s="2442"/>
      <c r="O103" s="2442"/>
      <c r="P103" s="2442"/>
      <c r="Q103" s="2442"/>
    </row>
    <row r="104" spans="2:17" s="835" customFormat="1">
      <c r="B104" s="2442"/>
      <c r="C104" s="2442"/>
      <c r="D104" s="2442"/>
      <c r="E104" s="2442"/>
      <c r="F104" s="2442"/>
      <c r="G104" s="2442"/>
      <c r="H104" s="2442"/>
      <c r="I104" s="2442"/>
      <c r="J104" s="2442"/>
      <c r="K104" s="2442"/>
      <c r="L104" s="2442"/>
      <c r="M104" s="2442"/>
      <c r="N104" s="2442"/>
      <c r="O104" s="2442"/>
      <c r="P104" s="2442"/>
      <c r="Q104" s="2442"/>
    </row>
    <row r="105" spans="2:17" s="835" customFormat="1">
      <c r="B105" s="2442"/>
      <c r="C105" s="2442"/>
      <c r="D105" s="2442"/>
      <c r="E105" s="2442"/>
      <c r="F105" s="2442"/>
      <c r="G105" s="2442"/>
      <c r="H105" s="2442"/>
      <c r="I105" s="2442"/>
      <c r="J105" s="2442"/>
      <c r="K105" s="2442"/>
      <c r="L105" s="2442"/>
      <c r="M105" s="2442"/>
      <c r="N105" s="2442"/>
      <c r="O105" s="2442"/>
      <c r="P105" s="2442"/>
      <c r="Q105" s="2442"/>
    </row>
    <row r="106" spans="2:17" s="835" customFormat="1">
      <c r="B106" s="2442"/>
      <c r="C106" s="2442"/>
      <c r="D106" s="2442"/>
      <c r="E106" s="2442"/>
      <c r="F106" s="2442"/>
      <c r="G106" s="2442"/>
      <c r="H106" s="2442"/>
      <c r="I106" s="2442"/>
      <c r="J106" s="2442"/>
      <c r="K106" s="2442"/>
      <c r="L106" s="2442"/>
      <c r="M106" s="2442"/>
      <c r="N106" s="2442"/>
      <c r="O106" s="2442"/>
      <c r="P106" s="2442"/>
      <c r="Q106" s="2442"/>
    </row>
    <row r="107" spans="2:17" s="835" customFormat="1">
      <c r="B107" s="2442"/>
      <c r="C107" s="2442"/>
      <c r="D107" s="2442"/>
      <c r="E107" s="2442"/>
      <c r="F107" s="2442"/>
      <c r="G107" s="2442"/>
      <c r="H107" s="2442"/>
      <c r="I107" s="2442"/>
      <c r="J107" s="2442"/>
      <c r="K107" s="2442"/>
      <c r="L107" s="2442"/>
      <c r="M107" s="2442"/>
      <c r="N107" s="2442"/>
      <c r="O107" s="2442"/>
      <c r="P107" s="2442"/>
      <c r="Q107" s="2442"/>
    </row>
    <row r="108" spans="2:17" s="835" customFormat="1">
      <c r="B108" s="2442"/>
      <c r="C108" s="2442"/>
      <c r="D108" s="2442"/>
      <c r="E108" s="2442"/>
      <c r="F108" s="2442"/>
      <c r="G108" s="2442"/>
      <c r="H108" s="2442"/>
      <c r="I108" s="2442"/>
      <c r="J108" s="2442"/>
      <c r="K108" s="2442"/>
      <c r="L108" s="2442"/>
      <c r="M108" s="2442"/>
      <c r="N108" s="2442"/>
      <c r="O108" s="2442"/>
      <c r="P108" s="2442"/>
      <c r="Q108" s="2442"/>
    </row>
    <row r="109" spans="2:17" s="835" customFormat="1">
      <c r="B109" s="2442"/>
      <c r="C109" s="2442"/>
      <c r="D109" s="2442"/>
      <c r="E109" s="2442"/>
      <c r="F109" s="2442"/>
      <c r="G109" s="2442"/>
      <c r="H109" s="2442"/>
      <c r="I109" s="2442"/>
      <c r="J109" s="2442"/>
      <c r="K109" s="2442"/>
      <c r="L109" s="2442"/>
      <c r="M109" s="2442"/>
      <c r="N109" s="2442"/>
      <c r="O109" s="2442"/>
      <c r="P109" s="2442"/>
      <c r="Q109" s="2442"/>
    </row>
    <row r="110" spans="2:17" s="835" customFormat="1">
      <c r="B110" s="2442"/>
      <c r="C110" s="2442"/>
      <c r="D110" s="2442"/>
      <c r="E110" s="2442"/>
      <c r="F110" s="2442"/>
      <c r="G110" s="2442"/>
      <c r="H110" s="2442"/>
      <c r="I110" s="2442"/>
      <c r="J110" s="2442"/>
      <c r="K110" s="2442"/>
      <c r="L110" s="2442"/>
      <c r="M110" s="2442"/>
      <c r="N110" s="2442"/>
      <c r="O110" s="2442"/>
      <c r="P110" s="2442"/>
      <c r="Q110" s="2442"/>
    </row>
    <row r="111" spans="2:17" s="835" customFormat="1">
      <c r="B111" s="2442"/>
      <c r="C111" s="2442"/>
      <c r="D111" s="2442"/>
      <c r="E111" s="2442"/>
      <c r="F111" s="2442"/>
      <c r="G111" s="2442"/>
      <c r="H111" s="2442"/>
      <c r="I111" s="2442"/>
      <c r="J111" s="2442"/>
      <c r="K111" s="2442"/>
      <c r="L111" s="2442"/>
      <c r="M111" s="2442"/>
      <c r="N111" s="2442"/>
      <c r="O111" s="2442"/>
      <c r="P111" s="2442"/>
      <c r="Q111" s="2442"/>
    </row>
    <row r="112" spans="2:17" s="835" customFormat="1">
      <c r="B112" s="2442"/>
      <c r="C112" s="2442"/>
      <c r="D112" s="2442"/>
      <c r="E112" s="2442"/>
      <c r="F112" s="2442"/>
      <c r="G112" s="2442"/>
      <c r="H112" s="2442"/>
      <c r="I112" s="2442"/>
      <c r="J112" s="2442"/>
      <c r="K112" s="2442"/>
      <c r="L112" s="2442"/>
      <c r="M112" s="2442"/>
      <c r="N112" s="2442"/>
      <c r="O112" s="2442"/>
      <c r="P112" s="2442"/>
      <c r="Q112" s="2442"/>
    </row>
    <row r="113" spans="2:17" s="835" customFormat="1">
      <c r="B113" s="2442"/>
      <c r="C113" s="2442"/>
      <c r="D113" s="2442"/>
      <c r="E113" s="2442"/>
      <c r="F113" s="2442"/>
      <c r="G113" s="2442"/>
      <c r="H113" s="2442"/>
      <c r="I113" s="2442"/>
      <c r="J113" s="2442"/>
      <c r="K113" s="2442"/>
      <c r="L113" s="2442"/>
      <c r="M113" s="2442"/>
      <c r="N113" s="2442"/>
      <c r="O113" s="2442"/>
      <c r="P113" s="2442"/>
      <c r="Q113" s="2442"/>
    </row>
    <row r="114" spans="2:17" s="835" customFormat="1">
      <c r="B114" s="2442"/>
      <c r="C114" s="2442"/>
      <c r="D114" s="2442"/>
      <c r="E114" s="2442"/>
      <c r="F114" s="2442"/>
      <c r="G114" s="2442"/>
      <c r="H114" s="2442"/>
      <c r="I114" s="2442"/>
      <c r="J114" s="2442"/>
      <c r="K114" s="2442"/>
      <c r="L114" s="2442"/>
      <c r="M114" s="2442"/>
      <c r="N114" s="2442"/>
      <c r="O114" s="2442"/>
      <c r="P114" s="2442"/>
      <c r="Q114" s="2442"/>
    </row>
    <row r="115" spans="2:17" s="835" customFormat="1">
      <c r="B115" s="2442"/>
      <c r="C115" s="2442"/>
      <c r="D115" s="2442"/>
      <c r="E115" s="2442"/>
      <c r="F115" s="2442"/>
      <c r="G115" s="2442"/>
      <c r="H115" s="2442"/>
      <c r="I115" s="2442"/>
      <c r="J115" s="2442"/>
      <c r="K115" s="2442"/>
      <c r="L115" s="2442"/>
      <c r="M115" s="2442"/>
      <c r="N115" s="2442"/>
      <c r="O115" s="2442"/>
      <c r="P115" s="2442"/>
      <c r="Q115" s="2442"/>
    </row>
    <row r="116" spans="2:17" s="835" customFormat="1">
      <c r="B116" s="2442"/>
      <c r="C116" s="2442"/>
      <c r="D116" s="2442"/>
      <c r="E116" s="2442"/>
      <c r="F116" s="2442"/>
      <c r="G116" s="2442"/>
      <c r="H116" s="2442"/>
      <c r="I116" s="2442"/>
      <c r="J116" s="2442"/>
      <c r="K116" s="2442"/>
      <c r="L116" s="2442"/>
      <c r="M116" s="2442"/>
      <c r="N116" s="2442"/>
      <c r="O116" s="2442"/>
      <c r="P116" s="2442"/>
      <c r="Q116" s="2442"/>
    </row>
    <row r="117" spans="2:17" s="835" customFormat="1">
      <c r="B117" s="2442"/>
      <c r="C117" s="2442"/>
      <c r="D117" s="2442"/>
      <c r="E117" s="2442"/>
      <c r="F117" s="2442"/>
      <c r="G117" s="2442"/>
      <c r="H117" s="2442"/>
      <c r="I117" s="2442"/>
      <c r="J117" s="2442"/>
      <c r="K117" s="2442"/>
      <c r="L117" s="2442"/>
      <c r="M117" s="2442"/>
      <c r="N117" s="2442"/>
      <c r="O117" s="2442"/>
      <c r="P117" s="2442"/>
      <c r="Q117" s="2442"/>
    </row>
    <row r="118" spans="2:17" s="835" customFormat="1">
      <c r="B118" s="2442"/>
      <c r="C118" s="2442"/>
      <c r="D118" s="2442"/>
      <c r="E118" s="2442"/>
      <c r="F118" s="2442"/>
      <c r="G118" s="2442"/>
      <c r="H118" s="2442"/>
      <c r="I118" s="2442"/>
      <c r="J118" s="2442"/>
      <c r="K118" s="2442"/>
      <c r="L118" s="2442"/>
      <c r="M118" s="2442"/>
      <c r="N118" s="2442"/>
      <c r="O118" s="2442"/>
      <c r="P118" s="2442"/>
      <c r="Q118" s="2442"/>
    </row>
    <row r="119" spans="2:17" s="835" customFormat="1">
      <c r="B119" s="2442"/>
      <c r="C119" s="2442"/>
      <c r="D119" s="2442"/>
      <c r="E119" s="2442"/>
      <c r="F119" s="2442"/>
      <c r="G119" s="2442"/>
      <c r="H119" s="2442"/>
      <c r="I119" s="2442"/>
      <c r="J119" s="2442"/>
      <c r="K119" s="2442"/>
      <c r="L119" s="2442"/>
      <c r="M119" s="2442"/>
      <c r="N119" s="2442"/>
      <c r="O119" s="2442"/>
      <c r="P119" s="2442"/>
      <c r="Q119" s="2442"/>
    </row>
    <row r="120" spans="2:17" s="835" customFormat="1">
      <c r="B120" s="2442"/>
      <c r="C120" s="2442"/>
      <c r="D120" s="2442"/>
      <c r="E120" s="2442"/>
      <c r="F120" s="2442"/>
      <c r="G120" s="2442"/>
      <c r="H120" s="2442"/>
      <c r="I120" s="2442"/>
      <c r="J120" s="2442"/>
      <c r="K120" s="2442"/>
      <c r="L120" s="2442"/>
      <c r="M120" s="2442"/>
      <c r="N120" s="2442"/>
      <c r="O120" s="2442"/>
      <c r="P120" s="2442"/>
      <c r="Q120" s="2442"/>
    </row>
    <row r="121" spans="2:17" s="835" customFormat="1">
      <c r="B121" s="2442"/>
      <c r="C121" s="2442"/>
      <c r="D121" s="2442"/>
      <c r="E121" s="2442"/>
      <c r="F121" s="2442"/>
      <c r="G121" s="2442"/>
      <c r="H121" s="2442"/>
      <c r="I121" s="2442"/>
      <c r="J121" s="2442"/>
      <c r="K121" s="2442"/>
      <c r="L121" s="2442"/>
      <c r="M121" s="2442"/>
      <c r="N121" s="2442"/>
      <c r="O121" s="2442"/>
      <c r="P121" s="2442"/>
      <c r="Q121" s="2442"/>
    </row>
    <row r="122" spans="2:17" s="835" customFormat="1">
      <c r="B122" s="2442"/>
      <c r="C122" s="2442"/>
      <c r="D122" s="2442"/>
      <c r="E122" s="2442"/>
      <c r="F122" s="2442"/>
      <c r="G122" s="2442"/>
      <c r="H122" s="2442"/>
      <c r="I122" s="2442"/>
      <c r="J122" s="2442"/>
      <c r="K122" s="2442"/>
      <c r="L122" s="2442"/>
      <c r="M122" s="2442"/>
      <c r="N122" s="2442"/>
      <c r="O122" s="2442"/>
      <c r="P122" s="2442"/>
      <c r="Q122" s="2442"/>
    </row>
    <row r="123" spans="2:17" s="835" customFormat="1">
      <c r="B123" s="2442"/>
      <c r="C123" s="2442"/>
      <c r="D123" s="2442"/>
      <c r="E123" s="2442"/>
      <c r="F123" s="2442"/>
      <c r="G123" s="2442"/>
      <c r="H123" s="2442"/>
      <c r="I123" s="2442"/>
      <c r="J123" s="2442"/>
      <c r="K123" s="2442"/>
      <c r="L123" s="2442"/>
      <c r="M123" s="2442"/>
      <c r="N123" s="2442"/>
      <c r="O123" s="2442"/>
      <c r="P123" s="2442"/>
      <c r="Q123" s="2442"/>
    </row>
    <row r="124" spans="2:17" s="835" customFormat="1">
      <c r="B124" s="2442"/>
      <c r="C124" s="2442"/>
      <c r="D124" s="2442"/>
      <c r="E124" s="2442"/>
      <c r="F124" s="2442"/>
      <c r="G124" s="2442"/>
      <c r="H124" s="2442"/>
      <c r="I124" s="2442"/>
      <c r="J124" s="2442"/>
      <c r="K124" s="2442"/>
      <c r="L124" s="2442"/>
      <c r="M124" s="2442"/>
      <c r="N124" s="2442"/>
      <c r="O124" s="2442"/>
      <c r="P124" s="2442"/>
      <c r="Q124" s="2442"/>
    </row>
    <row r="125" spans="2:17" s="835" customFormat="1">
      <c r="B125" s="2442"/>
      <c r="C125" s="2442"/>
      <c r="D125" s="2442"/>
      <c r="E125" s="2442"/>
      <c r="F125" s="2442"/>
      <c r="G125" s="2442"/>
      <c r="H125" s="2442"/>
      <c r="I125" s="2442"/>
      <c r="J125" s="2442"/>
      <c r="K125" s="2442"/>
      <c r="L125" s="2442"/>
      <c r="M125" s="2442"/>
      <c r="N125" s="2442"/>
      <c r="O125" s="2442"/>
      <c r="P125" s="2442"/>
      <c r="Q125" s="2442"/>
    </row>
    <row r="126" spans="2:17" s="835" customFormat="1">
      <c r="B126" s="2442"/>
      <c r="C126" s="2442"/>
      <c r="D126" s="2442"/>
      <c r="E126" s="2442"/>
      <c r="F126" s="2442"/>
      <c r="G126" s="2442"/>
      <c r="H126" s="2442"/>
      <c r="I126" s="2442"/>
      <c r="J126" s="2442"/>
      <c r="K126" s="2442"/>
      <c r="L126" s="2442"/>
      <c r="M126" s="2442"/>
      <c r="N126" s="2442"/>
      <c r="O126" s="2442"/>
      <c r="P126" s="2442"/>
      <c r="Q126" s="2442"/>
    </row>
    <row r="127" spans="2:17" s="835" customFormat="1">
      <c r="B127" s="2442"/>
      <c r="C127" s="2442"/>
      <c r="D127" s="2442"/>
      <c r="E127" s="2442"/>
      <c r="F127" s="2442"/>
      <c r="G127" s="2442"/>
      <c r="H127" s="2442"/>
      <c r="I127" s="2442"/>
      <c r="J127" s="2442"/>
      <c r="K127" s="2442"/>
      <c r="L127" s="2442"/>
      <c r="M127" s="2442"/>
      <c r="N127" s="2442"/>
      <c r="O127" s="2442"/>
      <c r="P127" s="2442"/>
      <c r="Q127" s="2442"/>
    </row>
    <row r="128" spans="2:17" s="835" customFormat="1">
      <c r="B128" s="2442"/>
      <c r="C128" s="2442"/>
      <c r="D128" s="2442"/>
      <c r="E128" s="2442"/>
      <c r="F128" s="2442"/>
      <c r="G128" s="2442"/>
      <c r="H128" s="2442"/>
      <c r="I128" s="2442"/>
      <c r="J128" s="2442"/>
      <c r="K128" s="2442"/>
      <c r="L128" s="2442"/>
      <c r="M128" s="2442"/>
      <c r="N128" s="2442"/>
      <c r="O128" s="2442"/>
      <c r="P128" s="2442"/>
      <c r="Q128" s="2442"/>
    </row>
    <row r="129" spans="2:17" s="835" customFormat="1">
      <c r="B129" s="2442"/>
      <c r="C129" s="2442"/>
      <c r="D129" s="2442"/>
      <c r="E129" s="2442"/>
      <c r="F129" s="2442"/>
      <c r="G129" s="2442"/>
      <c r="H129" s="2442"/>
      <c r="I129" s="2442"/>
      <c r="J129" s="2442"/>
      <c r="K129" s="2442"/>
      <c r="L129" s="2442"/>
      <c r="M129" s="2442"/>
      <c r="N129" s="2442"/>
      <c r="O129" s="2442"/>
      <c r="P129" s="2442"/>
      <c r="Q129" s="2442"/>
    </row>
    <row r="130" spans="2:17" s="835" customFormat="1">
      <c r="B130" s="2442"/>
      <c r="C130" s="2442"/>
      <c r="D130" s="2442"/>
      <c r="E130" s="2442"/>
      <c r="F130" s="2442"/>
      <c r="G130" s="2442"/>
      <c r="H130" s="2442"/>
      <c r="I130" s="2442"/>
      <c r="J130" s="2442"/>
      <c r="K130" s="2442"/>
      <c r="L130" s="2442"/>
      <c r="M130" s="2442"/>
      <c r="N130" s="2442"/>
      <c r="O130" s="2442"/>
      <c r="P130" s="2442"/>
      <c r="Q130" s="2442"/>
    </row>
    <row r="131" spans="2:17" s="835" customFormat="1">
      <c r="B131" s="2442"/>
      <c r="C131" s="2442"/>
      <c r="D131" s="2442"/>
      <c r="E131" s="2442"/>
      <c r="F131" s="2442"/>
      <c r="G131" s="2442"/>
      <c r="H131" s="2442"/>
      <c r="I131" s="2442"/>
      <c r="J131" s="2442"/>
      <c r="K131" s="2442"/>
      <c r="L131" s="2442"/>
      <c r="M131" s="2442"/>
      <c r="N131" s="2442"/>
      <c r="O131" s="2442"/>
      <c r="P131" s="2442"/>
      <c r="Q131" s="2442"/>
    </row>
    <row r="132" spans="2:17" s="835" customFormat="1">
      <c r="B132" s="2442"/>
      <c r="C132" s="2442"/>
      <c r="D132" s="2442"/>
      <c r="E132" s="2442"/>
      <c r="F132" s="2442"/>
      <c r="G132" s="2442"/>
      <c r="H132" s="2442"/>
      <c r="I132" s="2442"/>
      <c r="J132" s="2442"/>
      <c r="K132" s="2442"/>
      <c r="L132" s="2442"/>
      <c r="M132" s="2442"/>
      <c r="N132" s="2442"/>
      <c r="O132" s="2442"/>
      <c r="P132" s="2442"/>
      <c r="Q132" s="2442"/>
    </row>
    <row r="133" spans="2:17" s="835" customFormat="1">
      <c r="B133" s="2442"/>
      <c r="C133" s="2442"/>
      <c r="D133" s="2442"/>
      <c r="E133" s="2442"/>
      <c r="F133" s="2442"/>
      <c r="G133" s="2442"/>
      <c r="H133" s="2442"/>
      <c r="I133" s="2442"/>
      <c r="J133" s="2442"/>
      <c r="K133" s="2442"/>
      <c r="L133" s="2442"/>
      <c r="M133" s="2442"/>
      <c r="N133" s="2442"/>
      <c r="O133" s="2442"/>
      <c r="P133" s="2442"/>
      <c r="Q133" s="2442"/>
    </row>
    <row r="134" spans="2:17" s="835" customFormat="1">
      <c r="B134" s="2442"/>
      <c r="C134" s="2442"/>
      <c r="D134" s="2442"/>
      <c r="E134" s="2442"/>
      <c r="F134" s="2442"/>
      <c r="G134" s="2442"/>
      <c r="H134" s="2442"/>
      <c r="I134" s="2442"/>
      <c r="J134" s="2442"/>
      <c r="K134" s="2442"/>
      <c r="L134" s="2442"/>
      <c r="M134" s="2442"/>
      <c r="N134" s="2442"/>
      <c r="O134" s="2442"/>
      <c r="P134" s="2442"/>
      <c r="Q134" s="2442"/>
    </row>
    <row r="135" spans="2:17" s="835" customFormat="1">
      <c r="B135" s="2442"/>
      <c r="C135" s="2442"/>
      <c r="D135" s="2442"/>
      <c r="E135" s="2442"/>
      <c r="F135" s="2442"/>
      <c r="G135" s="2442"/>
      <c r="H135" s="2442"/>
      <c r="I135" s="2442"/>
      <c r="J135" s="2442"/>
      <c r="K135" s="2442"/>
      <c r="L135" s="2442"/>
      <c r="M135" s="2442"/>
      <c r="N135" s="2442"/>
      <c r="O135" s="2442"/>
      <c r="P135" s="2442"/>
      <c r="Q135" s="2442"/>
    </row>
    <row r="136" spans="2:17" s="835" customFormat="1">
      <c r="B136" s="2442"/>
      <c r="C136" s="2442"/>
      <c r="D136" s="2442"/>
      <c r="E136" s="2442"/>
      <c r="F136" s="2442"/>
      <c r="G136" s="2442"/>
      <c r="H136" s="2442"/>
      <c r="I136" s="2442"/>
      <c r="J136" s="2442"/>
      <c r="K136" s="2442"/>
      <c r="L136" s="2442"/>
      <c r="M136" s="2442"/>
      <c r="N136" s="2442"/>
      <c r="O136" s="2442"/>
      <c r="P136" s="2442"/>
      <c r="Q136" s="2442"/>
    </row>
    <row r="137" spans="2:17" s="835" customFormat="1">
      <c r="B137" s="2442"/>
      <c r="C137" s="2442"/>
      <c r="D137" s="2442"/>
      <c r="E137" s="2442"/>
      <c r="F137" s="2442"/>
      <c r="G137" s="2442"/>
      <c r="H137" s="2442"/>
      <c r="I137" s="2442"/>
      <c r="J137" s="2442"/>
      <c r="K137" s="2442"/>
      <c r="L137" s="2442"/>
      <c r="M137" s="2442"/>
      <c r="N137" s="2442"/>
      <c r="O137" s="2442"/>
      <c r="P137" s="2442"/>
      <c r="Q137" s="2442"/>
    </row>
    <row r="138" spans="2:17" s="835" customFormat="1">
      <c r="B138" s="2442"/>
      <c r="C138" s="2442"/>
      <c r="D138" s="2442"/>
      <c r="E138" s="2442"/>
      <c r="F138" s="2442"/>
      <c r="G138" s="2442"/>
      <c r="H138" s="2442"/>
      <c r="I138" s="2442"/>
      <c r="J138" s="2442"/>
      <c r="K138" s="2442"/>
      <c r="L138" s="2442"/>
      <c r="M138" s="2442"/>
      <c r="N138" s="2442"/>
      <c r="O138" s="2442"/>
      <c r="P138" s="2442"/>
      <c r="Q138" s="2442"/>
    </row>
    <row r="139" spans="2:17" s="835" customFormat="1">
      <c r="B139" s="2442"/>
      <c r="C139" s="2442"/>
      <c r="D139" s="2442"/>
      <c r="E139" s="2442"/>
      <c r="F139" s="2442"/>
      <c r="G139" s="2442"/>
      <c r="H139" s="2442"/>
      <c r="I139" s="2442"/>
      <c r="J139" s="2442"/>
      <c r="K139" s="2442"/>
      <c r="L139" s="2442"/>
      <c r="M139" s="2442"/>
      <c r="N139" s="2442"/>
      <c r="O139" s="2442"/>
      <c r="P139" s="2442"/>
      <c r="Q139" s="2442"/>
    </row>
    <row r="140" spans="2:17" s="835" customFormat="1">
      <c r="B140" s="2442"/>
      <c r="C140" s="2442"/>
      <c r="D140" s="2442"/>
      <c r="E140" s="2442"/>
      <c r="F140" s="2442"/>
      <c r="G140" s="2442"/>
      <c r="H140" s="2442"/>
      <c r="I140" s="2442"/>
      <c r="J140" s="2442"/>
      <c r="K140" s="2442"/>
      <c r="L140" s="2442"/>
      <c r="M140" s="2442"/>
      <c r="N140" s="2442"/>
      <c r="O140" s="2442"/>
      <c r="P140" s="2442"/>
      <c r="Q140" s="2442"/>
    </row>
    <row r="141" spans="2:17" s="835" customFormat="1">
      <c r="B141" s="2442"/>
      <c r="C141" s="2442"/>
      <c r="D141" s="2442"/>
      <c r="E141" s="2442"/>
      <c r="F141" s="2442"/>
      <c r="G141" s="2442"/>
      <c r="H141" s="2442"/>
      <c r="I141" s="2442"/>
      <c r="J141" s="2442"/>
      <c r="K141" s="2442"/>
      <c r="L141" s="2442"/>
      <c r="M141" s="2442"/>
      <c r="N141" s="2442"/>
      <c r="O141" s="2442"/>
      <c r="P141" s="2442"/>
      <c r="Q141" s="2442"/>
    </row>
    <row r="142" spans="2:17" s="835" customFormat="1">
      <c r="B142" s="2442"/>
      <c r="C142" s="2442"/>
      <c r="D142" s="2442"/>
      <c r="E142" s="2442"/>
      <c r="F142" s="2442"/>
      <c r="G142" s="2442"/>
      <c r="H142" s="2442"/>
      <c r="I142" s="2442"/>
      <c r="J142" s="2442"/>
      <c r="K142" s="2442"/>
      <c r="L142" s="2442"/>
      <c r="M142" s="2442"/>
      <c r="N142" s="2442"/>
      <c r="O142" s="2442"/>
      <c r="P142" s="2442"/>
      <c r="Q142" s="2442"/>
    </row>
    <row r="143" spans="2:17" s="835" customFormat="1">
      <c r="B143" s="2442"/>
      <c r="C143" s="2442"/>
      <c r="D143" s="2442"/>
      <c r="E143" s="2442"/>
      <c r="F143" s="2442"/>
      <c r="G143" s="2442"/>
      <c r="H143" s="2442"/>
      <c r="I143" s="2442"/>
      <c r="J143" s="2442"/>
      <c r="K143" s="2442"/>
      <c r="L143" s="2442"/>
      <c r="M143" s="2442"/>
      <c r="N143" s="2442"/>
      <c r="O143" s="2442"/>
      <c r="P143" s="2442"/>
      <c r="Q143" s="2442"/>
    </row>
    <row r="144" spans="2:17" s="835" customFormat="1">
      <c r="B144" s="2442"/>
      <c r="C144" s="2442"/>
      <c r="D144" s="2442"/>
      <c r="E144" s="2442"/>
      <c r="F144" s="2442"/>
      <c r="G144" s="2442"/>
      <c r="H144" s="2442"/>
      <c r="I144" s="2442"/>
      <c r="J144" s="2442"/>
      <c r="K144" s="2442"/>
      <c r="L144" s="2442"/>
      <c r="M144" s="2442"/>
      <c r="N144" s="2442"/>
      <c r="O144" s="2442"/>
      <c r="P144" s="2442"/>
      <c r="Q144" s="2442"/>
    </row>
    <row r="145" spans="2:17" s="835" customFormat="1">
      <c r="B145" s="2442"/>
      <c r="C145" s="2442"/>
      <c r="D145" s="2442"/>
      <c r="E145" s="2442"/>
      <c r="F145" s="2442"/>
      <c r="G145" s="2442"/>
      <c r="H145" s="2442"/>
      <c r="I145" s="2442"/>
      <c r="J145" s="2442"/>
      <c r="K145" s="2442"/>
      <c r="L145" s="2442"/>
      <c r="M145" s="2442"/>
      <c r="N145" s="2442"/>
      <c r="O145" s="2442"/>
      <c r="P145" s="2442"/>
      <c r="Q145" s="2442"/>
    </row>
    <row r="146" spans="2:17" s="835" customFormat="1">
      <c r="B146" s="2442"/>
      <c r="C146" s="2442"/>
      <c r="D146" s="2442"/>
      <c r="E146" s="2442"/>
      <c r="F146" s="2442"/>
      <c r="G146" s="2442"/>
      <c r="H146" s="2442"/>
      <c r="I146" s="2442"/>
      <c r="J146" s="2442"/>
      <c r="K146" s="2442"/>
      <c r="L146" s="2442"/>
      <c r="M146" s="2442"/>
      <c r="N146" s="2442"/>
      <c r="O146" s="2442"/>
      <c r="P146" s="2442"/>
      <c r="Q146" s="2442"/>
    </row>
    <row r="147" spans="2:17" s="835" customFormat="1">
      <c r="B147" s="2442"/>
      <c r="C147" s="2442"/>
      <c r="D147" s="2442"/>
      <c r="E147" s="2442"/>
      <c r="F147" s="2442"/>
      <c r="G147" s="2442"/>
      <c r="H147" s="2442"/>
      <c r="I147" s="2442"/>
      <c r="J147" s="2442"/>
      <c r="K147" s="2442"/>
      <c r="L147" s="2442"/>
      <c r="M147" s="2442"/>
      <c r="N147" s="2442"/>
      <c r="O147" s="2442"/>
      <c r="P147" s="2442"/>
      <c r="Q147" s="2442"/>
    </row>
    <row r="148" spans="2:17" s="835" customFormat="1">
      <c r="B148" s="2442"/>
      <c r="C148" s="2442"/>
      <c r="D148" s="2442"/>
      <c r="E148" s="2442"/>
      <c r="F148" s="2442"/>
      <c r="G148" s="2442"/>
      <c r="H148" s="2442"/>
      <c r="I148" s="2442"/>
      <c r="J148" s="2442"/>
      <c r="K148" s="2442"/>
      <c r="L148" s="2442"/>
      <c r="M148" s="2442"/>
      <c r="N148" s="2442"/>
      <c r="O148" s="2442"/>
      <c r="P148" s="2442"/>
      <c r="Q148" s="2442"/>
    </row>
    <row r="149" spans="2:17" s="835" customFormat="1">
      <c r="B149" s="2442"/>
      <c r="C149" s="2442"/>
      <c r="D149" s="2442"/>
      <c r="E149" s="2442"/>
      <c r="F149" s="2442"/>
      <c r="G149" s="2442"/>
      <c r="H149" s="2442"/>
      <c r="I149" s="2442"/>
      <c r="J149" s="2442"/>
      <c r="K149" s="2442"/>
      <c r="L149" s="2442"/>
      <c r="M149" s="2442"/>
      <c r="N149" s="2442"/>
      <c r="O149" s="2442"/>
      <c r="P149" s="2442"/>
      <c r="Q149" s="2442"/>
    </row>
    <row r="150" spans="2:17" s="835" customFormat="1">
      <c r="B150" s="2442"/>
      <c r="C150" s="2442"/>
      <c r="D150" s="2442"/>
      <c r="E150" s="2442"/>
      <c r="F150" s="2442"/>
      <c r="G150" s="2442"/>
      <c r="H150" s="2442"/>
      <c r="I150" s="2442"/>
      <c r="J150" s="2442"/>
      <c r="K150" s="2442"/>
      <c r="L150" s="2442"/>
      <c r="M150" s="2442"/>
      <c r="N150" s="2442"/>
      <c r="O150" s="2442"/>
      <c r="P150" s="2442"/>
      <c r="Q150" s="2442"/>
    </row>
    <row r="151" spans="2:17" s="835" customFormat="1">
      <c r="B151" s="2442"/>
      <c r="C151" s="2442"/>
      <c r="D151" s="2442"/>
      <c r="E151" s="2442"/>
      <c r="F151" s="2442"/>
      <c r="G151" s="2442"/>
      <c r="H151" s="2442"/>
      <c r="I151" s="2442"/>
      <c r="J151" s="2442"/>
      <c r="K151" s="2442"/>
      <c r="L151" s="2442"/>
      <c r="M151" s="2442"/>
      <c r="N151" s="2442"/>
      <c r="O151" s="2442"/>
      <c r="P151" s="2442"/>
      <c r="Q151" s="2442"/>
    </row>
    <row r="152" spans="2:17" s="835" customFormat="1">
      <c r="B152" s="2442"/>
      <c r="C152" s="2442"/>
      <c r="D152" s="2442"/>
      <c r="E152" s="2442"/>
      <c r="F152" s="2442"/>
      <c r="G152" s="2442"/>
      <c r="H152" s="2442"/>
      <c r="I152" s="2442"/>
      <c r="J152" s="2442"/>
      <c r="K152" s="2442"/>
      <c r="L152" s="2442"/>
      <c r="M152" s="2442"/>
      <c r="N152" s="2442"/>
      <c r="O152" s="2442"/>
      <c r="P152" s="2442"/>
      <c r="Q152" s="2442"/>
    </row>
    <row r="153" spans="2:17" s="835" customFormat="1">
      <c r="B153" s="2442"/>
      <c r="C153" s="2442"/>
      <c r="D153" s="2442"/>
      <c r="E153" s="2442"/>
      <c r="F153" s="2442"/>
      <c r="G153" s="2442"/>
      <c r="H153" s="2442"/>
      <c r="I153" s="2442"/>
      <c r="J153" s="2442"/>
      <c r="K153" s="2442"/>
      <c r="L153" s="2442"/>
      <c r="M153" s="2442"/>
      <c r="N153" s="2442"/>
      <c r="O153" s="2442"/>
      <c r="P153" s="2442"/>
      <c r="Q153" s="2442"/>
    </row>
    <row r="154" spans="2:17" s="835" customFormat="1">
      <c r="B154" s="2442"/>
      <c r="C154" s="2442"/>
      <c r="D154" s="2442"/>
      <c r="E154" s="2442"/>
      <c r="F154" s="2442"/>
      <c r="G154" s="2442"/>
      <c r="H154" s="2442"/>
      <c r="I154" s="2442"/>
      <c r="J154" s="2442"/>
      <c r="K154" s="2442"/>
      <c r="L154" s="2442"/>
      <c r="M154" s="2442"/>
      <c r="N154" s="2442"/>
      <c r="O154" s="2442"/>
      <c r="P154" s="2442"/>
      <c r="Q154" s="2442"/>
    </row>
    <row r="155" spans="2:17" s="835" customFormat="1">
      <c r="B155" s="2442"/>
      <c r="C155" s="2442"/>
      <c r="D155" s="2442"/>
      <c r="E155" s="2442"/>
      <c r="F155" s="2442"/>
      <c r="G155" s="2442"/>
      <c r="H155" s="2442"/>
      <c r="I155" s="2442"/>
      <c r="J155" s="2442"/>
      <c r="K155" s="2442"/>
      <c r="L155" s="2442"/>
      <c r="M155" s="2442"/>
      <c r="N155" s="2442"/>
      <c r="O155" s="2442"/>
      <c r="P155" s="2442"/>
      <c r="Q155" s="2442"/>
    </row>
    <row r="156" spans="2:17" s="835" customFormat="1">
      <c r="B156" s="2442"/>
      <c r="C156" s="2442"/>
      <c r="D156" s="2442"/>
      <c r="E156" s="2442"/>
      <c r="F156" s="2442"/>
      <c r="G156" s="2442"/>
      <c r="H156" s="2442"/>
      <c r="I156" s="2442"/>
      <c r="J156" s="2442"/>
      <c r="K156" s="2442"/>
      <c r="L156" s="2442"/>
      <c r="M156" s="2442"/>
      <c r="N156" s="2442"/>
      <c r="O156" s="2442"/>
      <c r="P156" s="2442"/>
      <c r="Q156" s="2442"/>
    </row>
    <row r="157" spans="2:17" s="835" customFormat="1">
      <c r="B157" s="2442"/>
      <c r="C157" s="2442"/>
      <c r="D157" s="2442"/>
      <c r="E157" s="2442"/>
      <c r="F157" s="2442"/>
      <c r="G157" s="2442"/>
      <c r="H157" s="2442"/>
      <c r="I157" s="2442"/>
      <c r="J157" s="2442"/>
      <c r="K157" s="2442"/>
      <c r="L157" s="2442"/>
      <c r="M157" s="2442"/>
      <c r="N157" s="2442"/>
      <c r="O157" s="2442"/>
      <c r="P157" s="2442"/>
      <c r="Q157" s="2442"/>
    </row>
    <row r="158" spans="2:17" s="835" customFormat="1">
      <c r="B158" s="2442"/>
      <c r="C158" s="2442"/>
      <c r="D158" s="2442"/>
      <c r="E158" s="2442"/>
      <c r="F158" s="2442"/>
      <c r="G158" s="2442"/>
      <c r="H158" s="2442"/>
      <c r="I158" s="2442"/>
      <c r="J158" s="2442"/>
      <c r="K158" s="2442"/>
      <c r="L158" s="2442"/>
      <c r="M158" s="2442"/>
      <c r="N158" s="2442"/>
      <c r="O158" s="2442"/>
      <c r="P158" s="2442"/>
      <c r="Q158" s="2442"/>
    </row>
    <row r="159" spans="2:17" s="835" customFormat="1">
      <c r="B159" s="2442"/>
      <c r="C159" s="2442"/>
      <c r="D159" s="2442"/>
      <c r="E159" s="2442"/>
      <c r="F159" s="2442"/>
      <c r="G159" s="2442"/>
      <c r="H159" s="2442"/>
      <c r="I159" s="2442"/>
      <c r="J159" s="2442"/>
      <c r="K159" s="2442"/>
      <c r="L159" s="2442"/>
      <c r="M159" s="2442"/>
      <c r="N159" s="2442"/>
      <c r="O159" s="2442"/>
      <c r="P159" s="2442"/>
      <c r="Q159" s="2442"/>
    </row>
    <row r="160" spans="2:17" s="835" customFormat="1">
      <c r="B160" s="2442"/>
      <c r="C160" s="2442"/>
      <c r="D160" s="2442"/>
      <c r="E160" s="2442"/>
      <c r="F160" s="2442"/>
      <c r="G160" s="2442"/>
      <c r="H160" s="2442"/>
      <c r="I160" s="2442"/>
      <c r="J160" s="2442"/>
      <c r="K160" s="2442"/>
      <c r="L160" s="2442"/>
      <c r="M160" s="2442"/>
      <c r="N160" s="2442"/>
      <c r="O160" s="2442"/>
      <c r="P160" s="2442"/>
      <c r="Q160" s="2442"/>
    </row>
    <row r="161" spans="2:17" s="835" customFormat="1">
      <c r="B161" s="2442"/>
      <c r="C161" s="2442"/>
      <c r="D161" s="2442"/>
      <c r="E161" s="2442"/>
      <c r="F161" s="2442"/>
      <c r="G161" s="2442"/>
      <c r="H161" s="2442"/>
      <c r="I161" s="2442"/>
      <c r="J161" s="2442"/>
      <c r="K161" s="2442"/>
      <c r="L161" s="2442"/>
      <c r="M161" s="2442"/>
      <c r="N161" s="2442"/>
      <c r="O161" s="2442"/>
      <c r="P161" s="2442"/>
      <c r="Q161" s="2442"/>
    </row>
    <row r="162" spans="2:17" s="835" customFormat="1">
      <c r="B162" s="2442"/>
      <c r="C162" s="2442"/>
      <c r="D162" s="2442"/>
      <c r="E162" s="2442"/>
      <c r="F162" s="2442"/>
      <c r="G162" s="2442"/>
      <c r="H162" s="2442"/>
      <c r="I162" s="2442"/>
      <c r="J162" s="2442"/>
      <c r="K162" s="2442"/>
      <c r="L162" s="2442"/>
      <c r="M162" s="2442"/>
      <c r="N162" s="2442"/>
      <c r="O162" s="2442"/>
      <c r="P162" s="2442"/>
      <c r="Q162" s="2442"/>
    </row>
    <row r="163" spans="2:17" s="835" customFormat="1">
      <c r="B163" s="2442"/>
      <c r="C163" s="2442"/>
      <c r="D163" s="2442"/>
      <c r="E163" s="2442"/>
      <c r="F163" s="2442"/>
      <c r="G163" s="2442"/>
      <c r="H163" s="2442"/>
      <c r="I163" s="2442"/>
      <c r="J163" s="2442"/>
      <c r="K163" s="2442"/>
      <c r="L163" s="2442"/>
      <c r="M163" s="2442"/>
      <c r="N163" s="2442"/>
      <c r="O163" s="2442"/>
      <c r="P163" s="2442"/>
      <c r="Q163" s="2442"/>
    </row>
    <row r="164" spans="2:17" s="835" customFormat="1">
      <c r="B164" s="2442"/>
      <c r="C164" s="2442"/>
      <c r="D164" s="2442"/>
      <c r="E164" s="2442"/>
      <c r="F164" s="2442"/>
      <c r="G164" s="2442"/>
      <c r="H164" s="2442"/>
      <c r="I164" s="2442"/>
      <c r="J164" s="2442"/>
      <c r="K164" s="2442"/>
      <c r="L164" s="2442"/>
      <c r="M164" s="2442"/>
      <c r="N164" s="2442"/>
      <c r="O164" s="2442"/>
      <c r="P164" s="2442"/>
      <c r="Q164" s="2442"/>
    </row>
    <row r="165" spans="2:17" s="835" customFormat="1">
      <c r="B165" s="2442"/>
      <c r="C165" s="2442"/>
      <c r="D165" s="2442"/>
      <c r="E165" s="2442"/>
      <c r="F165" s="2442"/>
      <c r="G165" s="2442"/>
      <c r="H165" s="2442"/>
      <c r="I165" s="2442"/>
      <c r="J165" s="2442"/>
      <c r="K165" s="2442"/>
      <c r="L165" s="2442"/>
      <c r="M165" s="2442"/>
      <c r="N165" s="2442"/>
      <c r="O165" s="2442"/>
      <c r="P165" s="2442"/>
      <c r="Q165" s="2442"/>
    </row>
    <row r="166" spans="2:17" s="835" customFormat="1">
      <c r="B166" s="2442"/>
      <c r="C166" s="2442"/>
      <c r="D166" s="2442"/>
      <c r="E166" s="2442"/>
      <c r="F166" s="2442"/>
      <c r="G166" s="2442"/>
      <c r="H166" s="2442"/>
      <c r="I166" s="2442"/>
      <c r="J166" s="2442"/>
      <c r="K166" s="2442"/>
      <c r="L166" s="2442"/>
      <c r="M166" s="2442"/>
      <c r="N166" s="2442"/>
      <c r="O166" s="2442"/>
      <c r="P166" s="2442"/>
      <c r="Q166" s="2442"/>
    </row>
    <row r="167" spans="2:17" s="835" customFormat="1">
      <c r="B167" s="2442"/>
      <c r="C167" s="2442"/>
      <c r="D167" s="2442"/>
      <c r="E167" s="2442"/>
      <c r="F167" s="2442"/>
      <c r="G167" s="2442"/>
      <c r="H167" s="2442"/>
      <c r="I167" s="2442"/>
      <c r="J167" s="2442"/>
      <c r="K167" s="2442"/>
      <c r="L167" s="2442"/>
      <c r="M167" s="2442"/>
      <c r="N167" s="2442"/>
      <c r="O167" s="2442"/>
      <c r="P167" s="2442"/>
      <c r="Q167" s="2442"/>
    </row>
    <row r="168" spans="2:17" s="835" customFormat="1">
      <c r="B168" s="2442"/>
      <c r="C168" s="2442"/>
      <c r="D168" s="2442"/>
      <c r="E168" s="2442"/>
      <c r="F168" s="2442"/>
      <c r="G168" s="2442"/>
      <c r="H168" s="2442"/>
      <c r="I168" s="2442"/>
      <c r="J168" s="2442"/>
      <c r="K168" s="2442"/>
      <c r="L168" s="2442"/>
      <c r="M168" s="2442"/>
      <c r="N168" s="2442"/>
      <c r="O168" s="2442"/>
      <c r="P168" s="2442"/>
      <c r="Q168" s="2442"/>
    </row>
    <row r="169" spans="2:17" s="835" customFormat="1">
      <c r="B169" s="2442"/>
      <c r="C169" s="2442"/>
      <c r="D169" s="2442"/>
      <c r="E169" s="2442"/>
      <c r="F169" s="2442"/>
      <c r="G169" s="2442"/>
      <c r="H169" s="2442"/>
      <c r="I169" s="2442"/>
      <c r="J169" s="2442"/>
      <c r="K169" s="2442"/>
      <c r="L169" s="2442"/>
      <c r="M169" s="2442"/>
      <c r="N169" s="2442"/>
      <c r="O169" s="2442"/>
      <c r="P169" s="2442"/>
      <c r="Q169" s="2442"/>
    </row>
    <row r="170" spans="2:17" s="835" customFormat="1">
      <c r="B170" s="2442"/>
      <c r="C170" s="2442"/>
      <c r="D170" s="2442"/>
      <c r="E170" s="2442"/>
      <c r="F170" s="2442"/>
      <c r="G170" s="2442"/>
      <c r="H170" s="2442"/>
      <c r="I170" s="2442"/>
      <c r="J170" s="2442"/>
      <c r="K170" s="2442"/>
      <c r="L170" s="2442"/>
      <c r="M170" s="2442"/>
      <c r="N170" s="2442"/>
      <c r="O170" s="2442"/>
      <c r="P170" s="2442"/>
      <c r="Q170" s="2442"/>
    </row>
    <row r="171" spans="2:17" s="835" customFormat="1">
      <c r="B171" s="2442"/>
      <c r="C171" s="2442"/>
      <c r="D171" s="2442"/>
      <c r="E171" s="2442"/>
      <c r="F171" s="2442"/>
      <c r="G171" s="2442"/>
      <c r="H171" s="2442"/>
      <c r="I171" s="2442"/>
      <c r="J171" s="2442"/>
      <c r="K171" s="2442"/>
      <c r="L171" s="2442"/>
      <c r="M171" s="2442"/>
      <c r="N171" s="2442"/>
      <c r="O171" s="2442"/>
      <c r="P171" s="2442"/>
      <c r="Q171" s="2442"/>
    </row>
    <row r="172" spans="2:17" s="835" customFormat="1">
      <c r="B172" s="2442"/>
      <c r="C172" s="2442"/>
      <c r="D172" s="2442"/>
      <c r="E172" s="2442"/>
      <c r="F172" s="2442"/>
      <c r="G172" s="2442"/>
      <c r="H172" s="2442"/>
      <c r="I172" s="2442"/>
      <c r="J172" s="2442"/>
      <c r="K172" s="2442"/>
      <c r="L172" s="2442"/>
      <c r="M172" s="2442"/>
      <c r="N172" s="2442"/>
      <c r="O172" s="2442"/>
      <c r="P172" s="2442"/>
      <c r="Q172" s="2442"/>
    </row>
    <row r="173" spans="2:17" s="835" customFormat="1">
      <c r="B173" s="2442"/>
      <c r="C173" s="2442"/>
      <c r="D173" s="2442"/>
      <c r="E173" s="2442"/>
      <c r="F173" s="2442"/>
      <c r="G173" s="2442"/>
      <c r="H173" s="2442"/>
      <c r="I173" s="2442"/>
      <c r="J173" s="2442"/>
      <c r="K173" s="2442"/>
      <c r="L173" s="2442"/>
      <c r="M173" s="2442"/>
      <c r="N173" s="2442"/>
      <c r="O173" s="2442"/>
      <c r="P173" s="2442"/>
      <c r="Q173" s="2442"/>
    </row>
    <row r="174" spans="2:17" s="835" customFormat="1">
      <c r="B174" s="2442"/>
      <c r="C174" s="2442"/>
      <c r="D174" s="2442"/>
      <c r="E174" s="2442"/>
      <c r="F174" s="2442"/>
      <c r="G174" s="2442"/>
      <c r="H174" s="2442"/>
      <c r="I174" s="2442"/>
      <c r="J174" s="2442"/>
      <c r="K174" s="2442"/>
      <c r="L174" s="2442"/>
      <c r="M174" s="2442"/>
      <c r="N174" s="2442"/>
      <c r="O174" s="2442"/>
      <c r="P174" s="2442"/>
      <c r="Q174" s="2442"/>
    </row>
    <row r="175" spans="2:17" s="835" customFormat="1">
      <c r="B175" s="2442"/>
      <c r="C175" s="2442"/>
      <c r="D175" s="2442"/>
      <c r="E175" s="2442"/>
      <c r="F175" s="2442"/>
      <c r="G175" s="2442"/>
      <c r="H175" s="2442"/>
      <c r="I175" s="2442"/>
      <c r="J175" s="2442"/>
      <c r="K175" s="2442"/>
      <c r="L175" s="2442"/>
      <c r="M175" s="2442"/>
      <c r="N175" s="2442"/>
      <c r="O175" s="2442"/>
      <c r="P175" s="2442"/>
      <c r="Q175" s="2442"/>
    </row>
    <row r="176" spans="2:17" s="835" customFormat="1">
      <c r="B176" s="2442"/>
      <c r="C176" s="2442"/>
      <c r="D176" s="2442"/>
      <c r="E176" s="2442"/>
      <c r="F176" s="2442"/>
      <c r="G176" s="2442"/>
      <c r="H176" s="2442"/>
      <c r="I176" s="2442"/>
      <c r="J176" s="2442"/>
      <c r="K176" s="2442"/>
      <c r="L176" s="2442"/>
      <c r="M176" s="2442"/>
      <c r="N176" s="2442"/>
      <c r="O176" s="2442"/>
      <c r="P176" s="2442"/>
      <c r="Q176" s="2442"/>
    </row>
    <row r="177" spans="1:17" s="835" customFormat="1">
      <c r="B177" s="2442"/>
      <c r="C177" s="2442"/>
      <c r="D177" s="2442"/>
      <c r="E177" s="2442"/>
      <c r="F177" s="2442"/>
      <c r="G177" s="2442"/>
      <c r="H177" s="2442"/>
      <c r="I177" s="2442"/>
      <c r="J177" s="2442"/>
      <c r="K177" s="2442"/>
      <c r="L177" s="2442"/>
      <c r="M177" s="2442"/>
      <c r="N177" s="2442"/>
      <c r="O177" s="2442"/>
      <c r="P177" s="2442"/>
      <c r="Q177" s="2442"/>
    </row>
    <row r="178" spans="1:17" s="835" customFormat="1">
      <c r="B178" s="2442"/>
      <c r="C178" s="2442"/>
      <c r="D178" s="2442"/>
      <c r="E178" s="2442"/>
      <c r="F178" s="2442"/>
      <c r="G178" s="2442"/>
      <c r="H178" s="2442"/>
      <c r="I178" s="2442"/>
      <c r="J178" s="2442"/>
      <c r="K178" s="2442"/>
      <c r="L178" s="2442"/>
      <c r="M178" s="2442"/>
      <c r="N178" s="2442"/>
      <c r="O178" s="2442"/>
      <c r="P178" s="2442"/>
      <c r="Q178" s="2442"/>
    </row>
    <row r="179" spans="1:17" s="835" customFormat="1">
      <c r="B179" s="2442"/>
      <c r="C179" s="2442"/>
      <c r="D179" s="2442"/>
      <c r="E179" s="2442"/>
      <c r="F179" s="2442"/>
      <c r="G179" s="2442"/>
      <c r="H179" s="2442"/>
      <c r="I179" s="2442"/>
      <c r="J179" s="2442"/>
      <c r="K179" s="2442"/>
      <c r="L179" s="2442"/>
      <c r="M179" s="2442"/>
      <c r="N179" s="2442"/>
      <c r="O179" s="2442"/>
      <c r="P179" s="2442"/>
      <c r="Q179" s="2442"/>
    </row>
    <row r="180" spans="1:17" s="835" customFormat="1">
      <c r="B180" s="2442"/>
      <c r="C180" s="2442"/>
      <c r="D180" s="2442"/>
      <c r="E180" s="2442"/>
      <c r="F180" s="2442"/>
      <c r="G180" s="2442"/>
      <c r="H180" s="2442"/>
      <c r="I180" s="2442"/>
      <c r="J180" s="2442"/>
      <c r="K180" s="2442"/>
      <c r="L180" s="2442"/>
      <c r="M180" s="2442"/>
      <c r="N180" s="2442"/>
      <c r="O180" s="2442"/>
      <c r="P180" s="2442"/>
      <c r="Q180" s="2442"/>
    </row>
    <row r="181" spans="1:17" s="835" customFormat="1">
      <c r="B181" s="2442"/>
      <c r="C181" s="2442"/>
      <c r="D181" s="2442"/>
      <c r="E181" s="2442"/>
      <c r="F181" s="2442"/>
      <c r="G181" s="2442"/>
      <c r="H181" s="2442"/>
      <c r="I181" s="2442"/>
      <c r="J181" s="2442"/>
      <c r="K181" s="2442"/>
      <c r="L181" s="2442"/>
      <c r="M181" s="2442"/>
      <c r="N181" s="2442"/>
      <c r="O181" s="2442"/>
      <c r="P181" s="2442"/>
      <c r="Q181" s="2442"/>
    </row>
    <row r="182" spans="1:17" s="835" customFormat="1">
      <c r="B182" s="2442"/>
      <c r="C182" s="2442"/>
      <c r="D182" s="2442"/>
      <c r="E182" s="2442"/>
      <c r="F182" s="2442"/>
      <c r="G182" s="2442"/>
      <c r="H182" s="2442"/>
      <c r="I182" s="2442"/>
      <c r="J182" s="2442"/>
      <c r="K182" s="2442"/>
      <c r="L182" s="2442"/>
      <c r="M182" s="2442"/>
      <c r="N182" s="2442"/>
      <c r="O182" s="2442"/>
      <c r="P182" s="2442"/>
      <c r="Q182" s="2442"/>
    </row>
    <row r="183" spans="1:17" s="835" customFormat="1">
      <c r="B183" s="2442"/>
      <c r="C183" s="2442"/>
      <c r="D183" s="2442"/>
      <c r="E183" s="2442"/>
      <c r="F183" s="2442"/>
      <c r="G183" s="2442"/>
      <c r="H183" s="2442"/>
      <c r="I183" s="2442"/>
      <c r="J183" s="2442"/>
      <c r="K183" s="2442"/>
      <c r="L183" s="2442"/>
      <c r="M183" s="2442"/>
      <c r="N183" s="2442"/>
      <c r="O183" s="2442"/>
      <c r="P183" s="2442"/>
      <c r="Q183" s="2442"/>
    </row>
    <row r="184" spans="1:17" s="835" customFormat="1">
      <c r="B184" s="2442"/>
      <c r="C184" s="2442"/>
      <c r="D184" s="2442"/>
      <c r="E184" s="2442"/>
      <c r="F184" s="2442"/>
      <c r="G184" s="2442"/>
      <c r="H184" s="2442"/>
      <c r="I184" s="2442"/>
      <c r="J184" s="2442"/>
      <c r="K184" s="2442"/>
      <c r="L184" s="2442"/>
      <c r="M184" s="2442"/>
      <c r="N184" s="2442"/>
      <c r="O184" s="2442"/>
      <c r="P184" s="2442"/>
      <c r="Q184" s="2442"/>
    </row>
    <row r="185" spans="1:17" s="835" customFormat="1">
      <c r="B185" s="2442"/>
      <c r="C185" s="2442"/>
      <c r="D185" s="2442"/>
      <c r="E185" s="2442"/>
      <c r="F185" s="2442"/>
      <c r="G185" s="2442"/>
      <c r="H185" s="2442"/>
      <c r="I185" s="2442"/>
      <c r="J185" s="2442"/>
      <c r="K185" s="2442"/>
      <c r="L185" s="2442"/>
      <c r="M185" s="2442"/>
      <c r="N185" s="2442"/>
      <c r="O185" s="2442"/>
      <c r="P185" s="2442"/>
      <c r="Q185" s="2442"/>
    </row>
    <row r="186" spans="1:17">
      <c r="A186" s="835"/>
      <c r="B186" s="2442"/>
      <c r="C186" s="2442"/>
      <c r="E186" s="2442"/>
      <c r="F186" s="2442"/>
      <c r="G186" s="2442"/>
    </row>
    <row r="187" spans="1:17">
      <c r="A187" s="835"/>
      <c r="B187" s="2442"/>
      <c r="C187" s="2442"/>
      <c r="E187" s="2442"/>
      <c r="F187" s="2442"/>
      <c r="G187" s="24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view="pageBreakPreview" zoomScale="80" zoomScaleNormal="80" zoomScaleSheetLayoutView="80" workbookViewId="0">
      <selection activeCell="C10" sqref="C10"/>
    </sheetView>
  </sheetViews>
  <sheetFormatPr defaultColWidth="9" defaultRowHeight="13.5"/>
  <cols>
    <col min="1" max="1" width="25" style="2466" customWidth="1"/>
    <col min="2" max="9" width="15.875" style="2466" customWidth="1"/>
    <col min="10" max="16384" width="9" style="2466"/>
  </cols>
  <sheetData>
    <row r="1" spans="1:15" ht="16.5">
      <c r="A1" s="2465" t="s">
        <v>1090</v>
      </c>
      <c r="B1" s="2465">
        <f>SUM(B14:B23)</f>
        <v>11320.8</v>
      </c>
      <c r="C1" s="2628"/>
      <c r="D1" s="2628"/>
      <c r="E1" s="2628"/>
      <c r="F1" s="2628"/>
      <c r="G1" s="2629"/>
      <c r="H1" s="2629"/>
      <c r="I1" s="2629"/>
      <c r="J1" s="2629"/>
      <c r="K1" s="2629"/>
    </row>
    <row r="2" spans="1:15" ht="16.5">
      <c r="A2" s="2465" t="s">
        <v>1078</v>
      </c>
      <c r="B2" s="2465">
        <f>SUM(C14:C23)</f>
        <v>8778.75</v>
      </c>
      <c r="C2" s="2628"/>
      <c r="D2" s="2628"/>
      <c r="E2" s="2628"/>
      <c r="F2" s="2628"/>
      <c r="G2" s="2629"/>
      <c r="H2" s="2629"/>
      <c r="I2" s="2629"/>
      <c r="J2" s="2629"/>
      <c r="K2" s="2629"/>
    </row>
    <row r="3" spans="1:15" ht="16.5">
      <c r="A3" s="2465" t="s">
        <v>1087</v>
      </c>
      <c r="B3" s="2467">
        <f>项目基本情况!D3</f>
        <v>44848</v>
      </c>
      <c r="C3" s="2628"/>
      <c r="D3" s="2628"/>
      <c r="E3" s="2628"/>
      <c r="F3" s="2628"/>
      <c r="G3" s="2629"/>
      <c r="H3" s="2629"/>
      <c r="I3" s="2629"/>
      <c r="J3" s="2629"/>
      <c r="K3" s="2629"/>
    </row>
    <row r="4" spans="1:15" ht="33">
      <c r="A4" s="2465" t="s">
        <v>1086</v>
      </c>
      <c r="B4" s="2465" t="s">
        <v>1085</v>
      </c>
      <c r="C4" s="2465" t="s">
        <v>1084</v>
      </c>
      <c r="D4" s="2465" t="s">
        <v>1083</v>
      </c>
      <c r="E4" s="2628"/>
      <c r="F4" s="2629"/>
      <c r="G4" s="2629"/>
      <c r="H4" s="2629"/>
      <c r="I4" s="2629"/>
      <c r="J4" s="2629"/>
      <c r="K4" s="2629"/>
    </row>
    <row r="5" spans="1:15" ht="16.5">
      <c r="A5" s="2465" t="s">
        <v>1082</v>
      </c>
      <c r="B5" s="2465">
        <f>SUM(D14:D23)</f>
        <v>7.05</v>
      </c>
      <c r="C5" s="2465">
        <f>ROUND(B5*10000/$B$1,0)</f>
        <v>6</v>
      </c>
      <c r="D5" s="2465">
        <f>ROUND(B5*10000/$B$2,0)</f>
        <v>8</v>
      </c>
      <c r="E5" s="2628"/>
      <c r="F5" s="2629"/>
      <c r="G5" s="2629"/>
      <c r="H5" s="2629"/>
      <c r="I5" s="2629"/>
      <c r="J5" s="2629"/>
      <c r="K5" s="2629"/>
    </row>
    <row r="6" spans="1:15" ht="16.5">
      <c r="A6" s="2465" t="s">
        <v>1081</v>
      </c>
      <c r="B6" s="2465">
        <f>SUM(G14:G23)</f>
        <v>0</v>
      </c>
      <c r="C6" s="2465">
        <f>ROUND(B6*10000/$B$1,0)</f>
        <v>0</v>
      </c>
      <c r="D6" s="2465">
        <f>ROUND(B6*10000/$B$2,0)</f>
        <v>0</v>
      </c>
      <c r="E6" s="2628"/>
      <c r="F6" s="2629"/>
      <c r="G6" s="2629"/>
      <c r="H6" s="2629"/>
      <c r="I6" s="2629"/>
      <c r="J6" s="2629"/>
      <c r="K6" s="2629"/>
    </row>
    <row r="7" spans="1:15" ht="16.5">
      <c r="A7" s="2465" t="s">
        <v>1089</v>
      </c>
      <c r="B7" s="2465">
        <f>SUM(H14:H23)</f>
        <v>0</v>
      </c>
      <c r="C7" s="2465">
        <f>ROUND(B7*10000/$B$1,0)</f>
        <v>0</v>
      </c>
      <c r="D7" s="2465">
        <f>ROUND(B7*10000/$B$2,0)</f>
        <v>0</v>
      </c>
      <c r="E7" s="2628"/>
      <c r="F7" s="2629"/>
      <c r="G7" s="2629"/>
      <c r="H7" s="2629"/>
      <c r="I7" s="2629"/>
      <c r="J7" s="2629"/>
      <c r="K7" s="2629"/>
    </row>
    <row r="8" spans="1:15" ht="16.5">
      <c r="A8" s="2465" t="s">
        <v>1012</v>
      </c>
      <c r="B8" s="2465">
        <f>SUM(I14:I23)</f>
        <v>0</v>
      </c>
      <c r="C8" s="2465">
        <f>ROUND(B8*10000/$B$1,0)</f>
        <v>0</v>
      </c>
      <c r="D8" s="2465">
        <f>ROUND(B8*10000/$B$2,0)</f>
        <v>0</v>
      </c>
      <c r="E8" s="2628"/>
      <c r="F8" s="2629"/>
      <c r="G8" s="2629"/>
      <c r="H8" s="2629"/>
      <c r="I8" s="2629"/>
      <c r="J8" s="2629"/>
      <c r="K8" s="2629"/>
    </row>
    <row r="9" spans="1:15" ht="16.5">
      <c r="A9" s="2465" t="s">
        <v>1080</v>
      </c>
      <c r="B9" s="1359"/>
      <c r="C9" s="2628"/>
      <c r="D9" s="2628"/>
      <c r="E9" s="2628"/>
      <c r="F9" s="2629"/>
      <c r="G9" s="2629"/>
      <c r="H9" s="2629"/>
      <c r="I9" s="2629"/>
      <c r="J9" s="2629"/>
      <c r="K9" s="2629"/>
    </row>
    <row r="10" spans="1:15" ht="16.5">
      <c r="A10" s="2465" t="s">
        <v>1079</v>
      </c>
      <c r="B10" s="1359">
        <f>ROUND(F10*B1/10000,0)</f>
        <v>38842</v>
      </c>
      <c r="C10" s="2628">
        <f>D14</f>
        <v>7.05</v>
      </c>
      <c r="D10" s="2628" t="s">
        <v>3284</v>
      </c>
      <c r="E10" s="2977">
        <v>0.06</v>
      </c>
      <c r="F10" s="2629">
        <f>ROUND(C10*365*0.8/E10,0)</f>
        <v>34310</v>
      </c>
      <c r="G10" s="2629"/>
      <c r="H10" s="2629"/>
      <c r="I10" s="2629"/>
      <c r="J10" s="2629"/>
      <c r="K10" s="2629"/>
    </row>
    <row r="11" spans="1:15" ht="16.5">
      <c r="A11" s="2465" t="s">
        <v>1095</v>
      </c>
      <c r="B11" s="1359"/>
      <c r="C11" s="2628"/>
      <c r="D11" s="2628"/>
      <c r="E11" s="2628"/>
      <c r="F11" s="2629"/>
      <c r="G11" s="2629"/>
      <c r="H11" s="2629"/>
      <c r="I11" s="2629"/>
      <c r="J11" s="2629"/>
      <c r="K11" s="2629"/>
    </row>
    <row r="12" spans="1:15" ht="16.5">
      <c r="A12" s="2628"/>
      <c r="B12" s="2628"/>
      <c r="C12" s="2628"/>
      <c r="D12" s="2628"/>
      <c r="E12" s="2628"/>
      <c r="F12" s="2629"/>
      <c r="G12" s="2629"/>
      <c r="H12" s="2629"/>
      <c r="I12" s="2629"/>
      <c r="J12" s="2629"/>
      <c r="K12" s="2629"/>
      <c r="L12" s="2466" t="s">
        <v>3287</v>
      </c>
    </row>
    <row r="13" spans="1:15" ht="33">
      <c r="A13" s="2468" t="s">
        <v>1094</v>
      </c>
      <c r="B13" s="2469" t="s">
        <v>1091</v>
      </c>
      <c r="C13" s="2469" t="s">
        <v>1093</v>
      </c>
      <c r="D13" s="2469" t="s">
        <v>1092</v>
      </c>
      <c r="E13" s="2465" t="s">
        <v>1084</v>
      </c>
      <c r="F13" s="2465" t="s">
        <v>1083</v>
      </c>
      <c r="G13" s="2469" t="s">
        <v>1077</v>
      </c>
      <c r="H13" s="2469" t="s">
        <v>1088</v>
      </c>
      <c r="I13" s="2469" t="s">
        <v>1076</v>
      </c>
      <c r="J13" s="2629"/>
      <c r="K13" s="2629"/>
      <c r="L13" s="2466" t="s">
        <v>3286</v>
      </c>
      <c r="M13" s="2978">
        <f>N13*10000/B14</f>
        <v>21870.880591477635</v>
      </c>
      <c r="N13" s="2466">
        <f>O13*B2/10000</f>
        <v>24759.586500000001</v>
      </c>
      <c r="O13" s="2466">
        <v>28204</v>
      </c>
    </row>
    <row r="14" spans="1:15" ht="16.5">
      <c r="A14" s="2470" t="s">
        <v>1075</v>
      </c>
      <c r="B14" s="2471">
        <f>结果表!B118</f>
        <v>11320.8</v>
      </c>
      <c r="C14" s="2471">
        <f>结果表!C118</f>
        <v>8778.75</v>
      </c>
      <c r="D14" s="2471">
        <f>'比较法-办公'!E51</f>
        <v>7.05</v>
      </c>
      <c r="E14" s="2471"/>
      <c r="F14" s="2471"/>
      <c r="G14" s="2471" t="s">
        <v>3219</v>
      </c>
      <c r="H14" s="2471" t="str">
        <f>结果表!D124</f>
        <v>——</v>
      </c>
      <c r="I14" s="2471" t="str">
        <f>结果表!D126</f>
        <v>——</v>
      </c>
      <c r="J14" s="2629"/>
      <c r="K14" s="2629"/>
      <c r="L14" s="2466" t="s">
        <v>3285</v>
      </c>
      <c r="M14" s="2466">
        <v>3500</v>
      </c>
      <c r="N14" s="2466">
        <f>M14*B1/10000</f>
        <v>3962.28</v>
      </c>
    </row>
    <row r="15" spans="1:15" ht="16.5">
      <c r="A15" s="2470" t="s">
        <v>1074</v>
      </c>
      <c r="B15" s="2472"/>
      <c r="C15" s="2472"/>
      <c r="D15" s="2472"/>
      <c r="E15" s="2471" t="e">
        <f t="shared" ref="E15:E23" si="0">ROUND(D15*10000/B15,0)</f>
        <v>#DIV/0!</v>
      </c>
      <c r="F15" s="2471" t="e">
        <f t="shared" ref="F15:F23" si="1">ROUND(D15*10000/C15,0)</f>
        <v>#DIV/0!</v>
      </c>
      <c r="G15" s="1359"/>
      <c r="H15" s="1359"/>
      <c r="I15" s="2472"/>
      <c r="J15" s="2629"/>
      <c r="K15" s="2629"/>
      <c r="L15" s="2466">
        <v>1.6</v>
      </c>
      <c r="M15" s="2978">
        <f>(M13+M14)*L15</f>
        <v>40593.408946364216</v>
      </c>
    </row>
    <row r="16" spans="1:15" ht="16.5">
      <c r="A16" s="2470" t="s">
        <v>1073</v>
      </c>
      <c r="B16" s="2472"/>
      <c r="C16" s="2472"/>
      <c r="D16" s="2472"/>
      <c r="E16" s="2471" t="e">
        <f t="shared" si="0"/>
        <v>#DIV/0!</v>
      </c>
      <c r="F16" s="2471" t="e">
        <f t="shared" si="1"/>
        <v>#DIV/0!</v>
      </c>
      <c r="G16" s="1359"/>
      <c r="H16" s="1359"/>
      <c r="I16" s="2472"/>
      <c r="J16" s="2629"/>
      <c r="K16" s="2629"/>
    </row>
    <row r="17" spans="1:11" ht="16.5">
      <c r="A17" s="2470" t="s">
        <v>1072</v>
      </c>
      <c r="B17" s="2472"/>
      <c r="C17" s="2472"/>
      <c r="D17" s="2472"/>
      <c r="E17" s="2471" t="e">
        <f t="shared" si="0"/>
        <v>#DIV/0!</v>
      </c>
      <c r="F17" s="2471" t="e">
        <f t="shared" si="1"/>
        <v>#DIV/0!</v>
      </c>
      <c r="G17" s="1359"/>
      <c r="H17" s="1359"/>
      <c r="I17" s="2472"/>
      <c r="J17" s="2629"/>
      <c r="K17" s="2629"/>
    </row>
    <row r="18" spans="1:11" ht="16.5">
      <c r="A18" s="2470" t="s">
        <v>1071</v>
      </c>
      <c r="B18" s="2472"/>
      <c r="C18" s="2472"/>
      <c r="D18" s="2472"/>
      <c r="E18" s="2471" t="e">
        <f t="shared" si="0"/>
        <v>#DIV/0!</v>
      </c>
      <c r="F18" s="2471" t="e">
        <f t="shared" si="1"/>
        <v>#DIV/0!</v>
      </c>
      <c r="G18" s="2472"/>
      <c r="H18" s="2472"/>
      <c r="I18" s="2472"/>
      <c r="J18" s="2629"/>
      <c r="K18" s="2629"/>
    </row>
    <row r="19" spans="1:11" ht="16.5">
      <c r="A19" s="2470" t="s">
        <v>1070</v>
      </c>
      <c r="B19" s="2472"/>
      <c r="C19" s="2472"/>
      <c r="D19" s="2472"/>
      <c r="E19" s="2471" t="e">
        <f t="shared" si="0"/>
        <v>#DIV/0!</v>
      </c>
      <c r="F19" s="2471" t="e">
        <f t="shared" si="1"/>
        <v>#DIV/0!</v>
      </c>
      <c r="G19" s="2472"/>
      <c r="H19" s="2472"/>
      <c r="I19" s="2472"/>
      <c r="J19" s="2629"/>
      <c r="K19" s="2629"/>
    </row>
    <row r="20" spans="1:11" ht="16.5">
      <c r="A20" s="2470" t="s">
        <v>1069</v>
      </c>
      <c r="B20" s="2472"/>
      <c r="C20" s="2472"/>
      <c r="D20" s="2472"/>
      <c r="E20" s="2471" t="e">
        <f t="shared" si="0"/>
        <v>#DIV/0!</v>
      </c>
      <c r="F20" s="2471" t="e">
        <f t="shared" si="1"/>
        <v>#DIV/0!</v>
      </c>
      <c r="G20" s="2472"/>
      <c r="H20" s="2472"/>
      <c r="I20" s="2472"/>
      <c r="J20" s="2629"/>
      <c r="K20" s="2629"/>
    </row>
    <row r="21" spans="1:11" ht="16.5">
      <c r="A21" s="2470" t="s">
        <v>1068</v>
      </c>
      <c r="B21" s="2472"/>
      <c r="C21" s="2472"/>
      <c r="D21" s="2472"/>
      <c r="E21" s="2471" t="e">
        <f t="shared" si="0"/>
        <v>#DIV/0!</v>
      </c>
      <c r="F21" s="2471" t="e">
        <f t="shared" si="1"/>
        <v>#DIV/0!</v>
      </c>
      <c r="G21" s="2472"/>
      <c r="H21" s="2472"/>
      <c r="I21" s="2472"/>
      <c r="J21" s="2629"/>
      <c r="K21" s="2629"/>
    </row>
    <row r="22" spans="1:11" ht="16.5">
      <c r="A22" s="2470" t="s">
        <v>1067</v>
      </c>
      <c r="B22" s="2472"/>
      <c r="C22" s="2472"/>
      <c r="D22" s="2472"/>
      <c r="E22" s="2471" t="e">
        <f t="shared" si="0"/>
        <v>#DIV/0!</v>
      </c>
      <c r="F22" s="2471" t="e">
        <f t="shared" si="1"/>
        <v>#DIV/0!</v>
      </c>
      <c r="G22" s="2472"/>
      <c r="H22" s="2472"/>
      <c r="I22" s="2472"/>
      <c r="J22" s="2629"/>
      <c r="K22" s="2629"/>
    </row>
    <row r="23" spans="1:11" ht="16.5">
      <c r="A23" s="2470" t="s">
        <v>1066</v>
      </c>
      <c r="B23" s="2472"/>
      <c r="C23" s="2472"/>
      <c r="D23" s="2472"/>
      <c r="E23" s="1359" t="e">
        <f t="shared" si="0"/>
        <v>#DIV/0!</v>
      </c>
      <c r="F23" s="1359" t="e">
        <f t="shared" si="1"/>
        <v>#DIV/0!</v>
      </c>
      <c r="G23" s="2472"/>
      <c r="H23" s="2472"/>
      <c r="I23" s="2472"/>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L38" sqref="L38"/>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1708</v>
      </c>
      <c r="B1" s="655"/>
      <c r="C1" s="1750"/>
      <c r="D1" s="655"/>
      <c r="E1" s="655"/>
      <c r="F1" s="1751" t="s">
        <v>1709</v>
      </c>
      <c r="G1" s="1583"/>
      <c r="H1" s="1751" t="str">
        <f>IF(G1="现房","——","估价对象范围")</f>
        <v>估价对象范围</v>
      </c>
      <c r="I1" s="1752"/>
    </row>
    <row r="2" spans="1:12" ht="21.75" customHeight="1" thickBot="1">
      <c r="A2" s="3156" t="str">
        <f>项目基本情况!S2</f>
        <v>北京市房地产</v>
      </c>
      <c r="B2" s="3157"/>
      <c r="C2" s="3157"/>
      <c r="D2" s="3157"/>
      <c r="E2" s="3157"/>
      <c r="F2" s="3157"/>
      <c r="G2" s="3157"/>
      <c r="H2" s="3157"/>
      <c r="I2" s="3158"/>
    </row>
    <row r="3" spans="1:12" ht="12.75">
      <c r="A3" s="3160" t="s">
        <v>1710</v>
      </c>
      <c r="B3" s="3161"/>
      <c r="C3" s="3161"/>
      <c r="D3" s="3161"/>
      <c r="E3" s="3161"/>
      <c r="F3" s="3161"/>
      <c r="G3" s="3161"/>
      <c r="H3" s="3161"/>
      <c r="I3" s="3161"/>
    </row>
    <row r="4" spans="1:12" ht="14.25">
      <c r="A4" s="1754" t="s">
        <v>1711</v>
      </c>
      <c r="B4" s="1755" t="s">
        <v>1712</v>
      </c>
      <c r="C4" s="1756" t="s">
        <v>3266</v>
      </c>
      <c r="D4" s="1756" t="s">
        <v>3267</v>
      </c>
      <c r="E4" s="3165" t="s">
        <v>1713</v>
      </c>
      <c r="F4" s="3166"/>
      <c r="G4" s="3166"/>
      <c r="H4" s="3166"/>
      <c r="I4" s="3167"/>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2.75">
      <c r="A5" s="3101" t="s">
        <v>1714</v>
      </c>
      <c r="B5" s="3159">
        <v>25</v>
      </c>
      <c r="C5" s="3162"/>
      <c r="D5" s="3150"/>
      <c r="E5" s="128" t="s">
        <v>1715</v>
      </c>
      <c r="F5" s="1757"/>
      <c r="G5" s="1757"/>
      <c r="H5" s="1757"/>
      <c r="I5" s="1410"/>
    </row>
    <row r="6" spans="1:12" ht="12.75">
      <c r="A6" s="3101"/>
      <c r="B6" s="3159"/>
      <c r="C6" s="3164"/>
      <c r="D6" s="3150"/>
      <c r="E6" s="128" t="s">
        <v>1716</v>
      </c>
      <c r="F6" s="1757"/>
      <c r="G6" s="1757"/>
      <c r="H6" s="1757"/>
      <c r="I6" s="1410"/>
    </row>
    <row r="7" spans="1:12" ht="12.75">
      <c r="A7" s="3101"/>
      <c r="B7" s="3159"/>
      <c r="C7" s="3163"/>
      <c r="D7" s="3150"/>
      <c r="E7" s="128" t="s">
        <v>1717</v>
      </c>
      <c r="F7" s="1757"/>
      <c r="G7" s="1757"/>
      <c r="H7" s="1757"/>
      <c r="I7" s="1410"/>
    </row>
    <row r="8" spans="1:12" ht="12.75">
      <c r="A8" s="3101" t="s">
        <v>1718</v>
      </c>
      <c r="B8" s="3159">
        <v>15</v>
      </c>
      <c r="C8" s="3162"/>
      <c r="D8" s="3150"/>
      <c r="E8" s="128" t="s">
        <v>1719</v>
      </c>
      <c r="F8" s="1757"/>
      <c r="G8" s="1757"/>
      <c r="H8" s="1757"/>
      <c r="I8" s="1410"/>
    </row>
    <row r="9" spans="1:12" ht="12.75">
      <c r="A9" s="3101"/>
      <c r="B9" s="3159"/>
      <c r="C9" s="3163"/>
      <c r="D9" s="3150"/>
      <c r="E9" s="128" t="s">
        <v>1720</v>
      </c>
      <c r="F9" s="1757"/>
      <c r="G9" s="1757"/>
      <c r="H9" s="1757"/>
      <c r="I9" s="1410"/>
    </row>
    <row r="10" spans="1:12" ht="12.75">
      <c r="A10" s="3101" t="s">
        <v>1721</v>
      </c>
      <c r="B10" s="3159">
        <v>15</v>
      </c>
      <c r="C10" s="3162"/>
      <c r="D10" s="3150"/>
      <c r="E10" s="128" t="s">
        <v>1722</v>
      </c>
      <c r="F10" s="1757"/>
      <c r="G10" s="1757"/>
      <c r="H10" s="1757"/>
      <c r="I10" s="1410"/>
    </row>
    <row r="11" spans="1:12" ht="12.75">
      <c r="A11" s="3101"/>
      <c r="B11" s="3159"/>
      <c r="C11" s="3163"/>
      <c r="D11" s="3150"/>
      <c r="E11" s="128" t="s">
        <v>1723</v>
      </c>
      <c r="F11" s="1757"/>
      <c r="G11" s="1757"/>
      <c r="H11" s="1757"/>
      <c r="I11" s="1410"/>
    </row>
    <row r="12" spans="1:12" ht="12.75">
      <c r="A12" s="3101" t="s">
        <v>1724</v>
      </c>
      <c r="B12" s="3159">
        <v>15</v>
      </c>
      <c r="C12" s="3162"/>
      <c r="D12" s="3150"/>
      <c r="E12" s="128" t="s">
        <v>1725</v>
      </c>
      <c r="F12" s="1757"/>
      <c r="G12" s="1757"/>
      <c r="H12" s="1757"/>
      <c r="I12" s="1410"/>
    </row>
    <row r="13" spans="1:12" ht="12.75">
      <c r="A13" s="3101"/>
      <c r="B13" s="3159"/>
      <c r="C13" s="3163"/>
      <c r="D13" s="3150"/>
      <c r="E13" s="128" t="s">
        <v>1726</v>
      </c>
      <c r="F13" s="1757"/>
      <c r="G13" s="1757"/>
      <c r="H13" s="1757"/>
      <c r="I13" s="1410"/>
    </row>
    <row r="14" spans="1:12" ht="12.75">
      <c r="A14" s="3101" t="s">
        <v>1727</v>
      </c>
      <c r="B14" s="3159">
        <v>30</v>
      </c>
      <c r="C14" s="3162">
        <v>10</v>
      </c>
      <c r="D14" s="3150"/>
      <c r="E14" s="128" t="s">
        <v>1728</v>
      </c>
      <c r="F14" s="1757"/>
      <c r="G14" s="1757"/>
      <c r="H14" s="1757"/>
      <c r="I14" s="1410"/>
    </row>
    <row r="15" spans="1:12" ht="12.75">
      <c r="A15" s="3101"/>
      <c r="B15" s="3159"/>
      <c r="C15" s="3164"/>
      <c r="D15" s="3150"/>
      <c r="E15" s="128" t="s">
        <v>1729</v>
      </c>
      <c r="F15" s="1757"/>
      <c r="G15" s="1757"/>
      <c r="H15" s="1757"/>
      <c r="I15" s="1410"/>
    </row>
    <row r="16" spans="1:12" ht="12.75">
      <c r="A16" s="3101"/>
      <c r="B16" s="3159"/>
      <c r="C16" s="3163"/>
      <c r="D16" s="3150"/>
      <c r="E16" s="128" t="s">
        <v>1730</v>
      </c>
      <c r="F16" s="1757"/>
      <c r="G16" s="1757"/>
      <c r="H16" s="1757"/>
      <c r="I16" s="1410"/>
    </row>
    <row r="17" spans="1:36" ht="15">
      <c r="A17" s="1758" t="s">
        <v>1731</v>
      </c>
      <c r="B17" s="58"/>
      <c r="C17" s="129">
        <f>SUM(C5:C16)</f>
        <v>10</v>
      </c>
      <c r="D17" s="129">
        <f>SUM(D5:D16)</f>
        <v>0</v>
      </c>
      <c r="E17" s="126"/>
      <c r="F17" s="126"/>
      <c r="G17" s="126"/>
      <c r="H17" s="126"/>
      <c r="I17" s="126"/>
      <c r="K17" s="300"/>
      <c r="L17" s="300" t="s">
        <v>1732</v>
      </c>
      <c r="M17" s="300" t="s">
        <v>1733</v>
      </c>
    </row>
    <row r="18" spans="1:36" ht="32.1" customHeight="1" thickBot="1">
      <c r="A18" s="1759" t="s">
        <v>1734</v>
      </c>
      <c r="B18" s="1672"/>
      <c r="C18" s="130">
        <f>ROUND(C17/SUM(C17:D17),2)</f>
        <v>1</v>
      </c>
      <c r="D18" s="130">
        <f>1-C18</f>
        <v>0</v>
      </c>
      <c r="E18" s="3181" t="s">
        <v>2633</v>
      </c>
      <c r="F18" s="3182"/>
      <c r="G18" s="3182"/>
      <c r="H18" s="3182"/>
      <c r="I18" s="3182"/>
      <c r="K18" s="300" t="s">
        <v>1735</v>
      </c>
      <c r="L18" s="300">
        <f>IF(C1="",'数据-汇总表'!E3,SUMIF(项目类型,C1,'数据-汇总表'!E17:E26)+SUMIF(项目类型,C1,'数据-汇总表'!I17:I26))</f>
        <v>11320.8</v>
      </c>
      <c r="M18" s="300">
        <f>IF(C1="",'数据-汇总表'!E3,SUMIF(项目类型,C1,'数据-汇总表'!E17:E26))</f>
        <v>11320.8</v>
      </c>
    </row>
    <row r="19" spans="1:36" ht="15">
      <c r="A19" s="1760" t="s">
        <v>1736</v>
      </c>
      <c r="B19" s="1761" t="s">
        <v>1737</v>
      </c>
      <c r="C19" s="131">
        <f ca="1">SUMIF(INDIRECT("'"&amp;C4&amp;"'"&amp;"!A:A"),结果表!B19,INDIRECT("'"&amp;C4&amp;"'"&amp;"!B:B"))</f>
        <v>6</v>
      </c>
      <c r="D19" s="132" t="e">
        <f ca="1">SUMIF(INDIRECT("'"&amp;D4&amp;"'"&amp;"!A:A"),结果表!B19,INDIRECT("'"&amp;D4&amp;"'"&amp;"!B:B"))</f>
        <v>#VALUE!</v>
      </c>
      <c r="E19" s="1760" t="s">
        <v>1738</v>
      </c>
      <c r="F19" s="1761" t="s">
        <v>1737</v>
      </c>
      <c r="G19" s="133" t="e">
        <f ca="1">ROUND(C19*$C$18+D19*$D$18,0)</f>
        <v>#VALUE!</v>
      </c>
      <c r="H19" s="1762" t="s">
        <v>1739</v>
      </c>
      <c r="I19" s="126"/>
      <c r="K19" s="300" t="s">
        <v>1740</v>
      </c>
      <c r="L19" s="300">
        <f>IF(C1="",'数据-汇总表'!D3,SUMIF(项目类型,C1,'数据-汇总表'!D17:D26)+SUMIF(项目类型,C1,'数据-汇总表'!H17:H27))</f>
        <v>8778.75</v>
      </c>
      <c r="M19" s="300">
        <f>IF(C1="",'数据-汇总表'!D3,SUMIF(项目类型,C1,'数据-汇总表'!D17:D26))</f>
        <v>8778.75</v>
      </c>
    </row>
    <row r="20" spans="1:36" ht="15">
      <c r="A20" s="1763"/>
      <c r="B20" s="46" t="s">
        <v>1741</v>
      </c>
      <c r="C20" s="134">
        <f ca="1">SUMIF(INDIRECT("'"&amp;C4&amp;"'"&amp;"!A:A"),结果表!B20,INDIRECT("'"&amp;C4&amp;"'"&amp;"!B:B"))</f>
        <v>5.0999999999999996</v>
      </c>
      <c r="D20" s="135" t="e">
        <f ca="1">SUMIF(INDIRECT("'"&amp;D4&amp;"'"&amp;"!A:A"),结果表!B20,INDIRECT("'"&amp;D4&amp;"'"&amp;"!B:B"))</f>
        <v>#VALUE!</v>
      </c>
      <c r="E20" s="1763"/>
      <c r="F20" s="46" t="s">
        <v>1741</v>
      </c>
      <c r="G20" s="136" t="e">
        <f ca="1">ROUND(C20*$C$18+D20*$D$18,0)</f>
        <v>#VALUE!</v>
      </c>
      <c r="H20" s="845" t="s">
        <v>1742</v>
      </c>
      <c r="I20" s="126"/>
    </row>
    <row r="21" spans="1:36" ht="15" customHeight="1" thickBot="1">
      <c r="A21" s="457"/>
      <c r="B21" s="98" t="s">
        <v>1743</v>
      </c>
      <c r="C21" s="687">
        <f ca="1">ROUND(C19*10000/L19,0)</f>
        <v>7</v>
      </c>
      <c r="D21" s="688" t="e">
        <f ca="1">ROUND(D19*10000/L19,0)</f>
        <v>#VALUE!</v>
      </c>
      <c r="E21" s="457"/>
      <c r="F21" s="98" t="s">
        <v>1743</v>
      </c>
      <c r="G21" s="137" t="e">
        <f ca="1">ROUND(G19*10000/L19,0)</f>
        <v>#VALUE!</v>
      </c>
      <c r="H21" s="1764" t="s">
        <v>1742</v>
      </c>
      <c r="I21" s="126"/>
    </row>
    <row r="22" spans="1:36" ht="15" thickBot="1">
      <c r="A22" s="1694" t="s">
        <v>1744</v>
      </c>
      <c r="B22" s="1765"/>
      <c r="C22" s="1766"/>
      <c r="D22" s="689" t="e">
        <f ca="1">IF(C19&lt;D19,D19/C19-1,C19/D19-1)</f>
        <v>#VALUE!</v>
      </c>
      <c r="E22" s="126"/>
      <c r="F22" s="126"/>
      <c r="G22" s="126"/>
      <c r="H22" s="126"/>
      <c r="I22" s="126"/>
    </row>
    <row r="23" spans="1:36" ht="13.5" thickBot="1">
      <c r="A23" s="655"/>
      <c r="B23" s="655"/>
      <c r="C23" s="655"/>
      <c r="D23" s="655"/>
      <c r="E23" s="126"/>
      <c r="F23" s="126"/>
      <c r="G23" s="126"/>
      <c r="H23" s="126"/>
      <c r="I23" s="126"/>
    </row>
    <row r="24" spans="1:36" ht="14.25">
      <c r="A24" s="3174" t="s">
        <v>1745</v>
      </c>
      <c r="B24" s="1761" t="s">
        <v>1737</v>
      </c>
      <c r="C24" s="133">
        <f>IF(B30=0,0,D30)</f>
        <v>0</v>
      </c>
      <c r="D24" s="1767"/>
      <c r="E24" s="126"/>
      <c r="F24" s="126"/>
      <c r="G24" s="126"/>
      <c r="H24" s="126"/>
      <c r="I24" s="126"/>
    </row>
    <row r="25" spans="1:36" ht="14.25">
      <c r="A25" s="3175"/>
      <c r="B25" s="46" t="s">
        <v>1741</v>
      </c>
      <c r="C25" s="138">
        <f>IF(B30=0,0,C30)</f>
        <v>0</v>
      </c>
      <c r="D25" s="1768"/>
      <c r="E25" s="126"/>
      <c r="F25" s="126"/>
      <c r="G25" s="126"/>
      <c r="H25" s="126"/>
      <c r="I25" s="126"/>
    </row>
    <row r="26" spans="1:36" ht="13.5" customHeight="1">
      <c r="A26" s="1769" t="s">
        <v>1746</v>
      </c>
      <c r="B26" s="139" t="s">
        <v>1747</v>
      </c>
      <c r="C26" s="139" t="s">
        <v>1748</v>
      </c>
      <c r="D26" s="140" t="s">
        <v>1749</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1750</v>
      </c>
      <c r="B30" s="139"/>
      <c r="C30" s="139"/>
      <c r="D30" s="139"/>
      <c r="E30" s="2284" t="s">
        <v>2634</v>
      </c>
      <c r="F30" s="126"/>
      <c r="G30" s="126"/>
      <c r="H30" s="126"/>
      <c r="I30" s="126"/>
    </row>
    <row r="31" spans="1:36" s="2290" customFormat="1" ht="26.45" customHeight="1" thickTop="1" thickBot="1">
      <c r="A31" s="2285"/>
      <c r="B31" s="2286"/>
      <c r="C31" s="2286"/>
      <c r="D31" s="2286"/>
      <c r="E31" s="2286"/>
      <c r="F31" s="2286"/>
      <c r="G31" s="2286"/>
      <c r="H31" s="2286"/>
      <c r="I31" s="2287" t="s">
        <v>2635</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1751</v>
      </c>
      <c r="B32" s="1665"/>
      <c r="C32" s="141" t="e">
        <f ca="1">IF(D32="总价",G19-C24,G20-C25)</f>
        <v>#VALUE!</v>
      </c>
      <c r="D32" s="1771"/>
      <c r="E32" s="126"/>
      <c r="F32" s="126"/>
      <c r="G32" s="126"/>
      <c r="H32" s="126"/>
      <c r="I32" s="126"/>
    </row>
    <row r="33" spans="1:15" ht="15">
      <c r="A33" s="824" t="s">
        <v>1752</v>
      </c>
      <c r="B33" s="128"/>
      <c r="C33" s="1772"/>
      <c r="D33" s="1773"/>
      <c r="E33" s="1774" t="s">
        <v>1753</v>
      </c>
      <c r="F33" s="1775" t="str">
        <f>IF(D32="楼面单价","取值（单价）","取值（总价）")</f>
        <v>取值（总价）</v>
      </c>
      <c r="G33" s="126"/>
      <c r="H33" s="126"/>
      <c r="I33" s="126"/>
    </row>
    <row r="34" spans="1:15" ht="15">
      <c r="A34" s="1776"/>
      <c r="B34" s="1777" t="s">
        <v>1754</v>
      </c>
      <c r="C34" s="145" t="e">
        <f ca="1">IF(C33="自定义",F34,C32-C35)</f>
        <v>#VALUE!</v>
      </c>
      <c r="D34" s="893" t="e">
        <f ca="1">IF(C33="自定义",ROUND(C34/C32,3),IF(C33="收益比率",SUMIF(INDIRECT("'"&amp;D33&amp;"'"&amp;"!b:b"),"土地收益比率",INDIRECT("'"&amp;D33&amp;"'"&amp;"!c:c")),SUMIF(INDIRECT("'"&amp;D33&amp;"'"&amp;"!b:b"),"土地成本比率",INDIRECT("'"&amp;D33&amp;"'"&amp;"!c:c"))))</f>
        <v>#REF!</v>
      </c>
      <c r="E34" s="1778" t="s">
        <v>1755</v>
      </c>
      <c r="F34" s="1358"/>
      <c r="G34" s="126"/>
      <c r="H34" s="126"/>
      <c r="I34" s="126"/>
    </row>
    <row r="35" spans="1:15" ht="15.75" thickBot="1">
      <c r="A35" s="1779"/>
      <c r="B35" s="1780" t="s">
        <v>1756</v>
      </c>
      <c r="C35" s="1200" t="e">
        <f ca="1">IF(C33="自定义",F35,ROUND(C32*D35,0))</f>
        <v>#VALUE!</v>
      </c>
      <c r="D35" s="1201" t="e">
        <f ca="1">IF(C33="自定义",ROUND(C35/C32,3),IF(C33="收益比率",SUMIF(INDIRECT("'"&amp;D33&amp;"'"&amp;"!b:b"),"建筑物收益比率",INDIRECT("'"&amp;D33&amp;"'"&amp;"!c:c")),SUMIF(INDIRECT("'"&amp;D33&amp;"'"&amp;"!b:b"),"建筑物成本比率",INDIRECT("'"&amp;D33&amp;"'"&amp;"!c:c"))))</f>
        <v>#REF!</v>
      </c>
      <c r="E35" s="1781" t="s">
        <v>1757</v>
      </c>
      <c r="F35" s="151"/>
      <c r="G35" s="126"/>
      <c r="H35" s="126"/>
      <c r="I35" s="126"/>
    </row>
    <row r="36" spans="1:15" ht="15.75" thickBot="1">
      <c r="A36" s="3151" t="s">
        <v>1758</v>
      </c>
      <c r="B36" s="1782" t="s">
        <v>1759</v>
      </c>
      <c r="C36" s="142"/>
      <c r="D36" s="1783"/>
      <c r="E36" s="1697"/>
      <c r="F36" s="1784"/>
      <c r="G36" s="126"/>
      <c r="H36" s="126"/>
      <c r="I36" s="126"/>
    </row>
    <row r="37" spans="1:15" ht="15.75" thickBot="1">
      <c r="A37" s="3152"/>
      <c r="B37" s="1685" t="s">
        <v>1760</v>
      </c>
      <c r="C37" s="144"/>
      <c r="D37" s="1181"/>
      <c r="E37" s="1181"/>
      <c r="F37" s="1784"/>
      <c r="G37" s="126"/>
      <c r="H37" s="126"/>
      <c r="I37" s="126"/>
    </row>
    <row r="38" spans="1:15" ht="15.75" thickBot="1">
      <c r="A38" s="3153"/>
      <c r="B38" s="1785" t="s">
        <v>1761</v>
      </c>
      <c r="C38" s="650"/>
      <c r="D38" s="1786" t="s">
        <v>1762</v>
      </c>
      <c r="E38" s="1181"/>
      <c r="F38" s="1784"/>
      <c r="G38" s="126"/>
      <c r="H38" s="126"/>
      <c r="I38" s="126"/>
    </row>
    <row r="39" spans="1:15" ht="15">
      <c r="A39" s="1763" t="s">
        <v>1763</v>
      </c>
      <c r="B39" s="1787" t="s">
        <v>1764</v>
      </c>
      <c r="C39" s="1788" t="s">
        <v>1765</v>
      </c>
      <c r="D39" s="1788" t="s">
        <v>1766</v>
      </c>
      <c r="E39" s="1789" t="s">
        <v>1767</v>
      </c>
      <c r="F39" s="1784"/>
      <c r="G39" s="126"/>
      <c r="H39" s="126"/>
      <c r="I39" s="126"/>
    </row>
    <row r="40" spans="1:15" ht="14.25">
      <c r="A40" s="1790" t="s">
        <v>1768</v>
      </c>
      <c r="B40" s="146"/>
      <c r="C40" s="147"/>
      <c r="D40" s="147"/>
      <c r="E40" s="148"/>
      <c r="F40" s="1784"/>
      <c r="G40" s="126"/>
      <c r="H40" s="126"/>
      <c r="I40" s="126"/>
    </row>
    <row r="41" spans="1:15" ht="14.25">
      <c r="A41" s="1790" t="s">
        <v>1769</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1770</v>
      </c>
      <c r="B44" s="1794"/>
      <c r="C44" s="1794"/>
      <c r="D44" s="1795"/>
      <c r="E44" s="1795"/>
      <c r="F44" s="1796"/>
      <c r="G44" s="1796"/>
      <c r="H44" s="1796"/>
      <c r="I44" s="1796"/>
      <c r="J44" s="1797" t="s">
        <v>1771</v>
      </c>
      <c r="K44" s="7"/>
      <c r="L44" s="7"/>
      <c r="M44" s="7"/>
      <c r="N44" s="7"/>
      <c r="O44" s="7"/>
    </row>
    <row r="45" spans="1:15" ht="14.25" customHeight="1" thickBot="1">
      <c r="A45" s="3171" t="s">
        <v>1772</v>
      </c>
      <c r="B45" s="3172"/>
      <c r="C45" s="3173"/>
      <c r="D45" s="152" t="e">
        <f ca="1">ROUND(H101*F45,0)</f>
        <v>#REF!</v>
      </c>
      <c r="E45" s="153" t="s">
        <v>1773</v>
      </c>
      <c r="F45" s="154">
        <v>1</v>
      </c>
      <c r="G45" s="155" t="s">
        <v>1774</v>
      </c>
      <c r="H45" s="126"/>
      <c r="I45" s="126"/>
      <c r="J45" s="3088" t="s">
        <v>1775</v>
      </c>
      <c r="K45" s="3088"/>
      <c r="L45" s="3088"/>
      <c r="M45" s="3088"/>
      <c r="N45" s="3088"/>
      <c r="O45" s="3088"/>
    </row>
    <row r="46" spans="1:15" ht="14.25" customHeight="1">
      <c r="A46" s="3168" t="s">
        <v>1776</v>
      </c>
      <c r="B46" s="3169"/>
      <c r="C46" s="3169"/>
      <c r="D46" s="3169"/>
      <c r="E46" s="3169"/>
      <c r="F46" s="3169"/>
      <c r="G46" s="3170"/>
      <c r="H46" s="1798"/>
      <c r="I46" s="156"/>
      <c r="J46" s="2475">
        <v>1</v>
      </c>
      <c r="K46" s="3089" t="s">
        <v>1777</v>
      </c>
      <c r="L46" s="3089"/>
      <c r="M46" s="3090"/>
      <c r="N46" s="3090"/>
      <c r="O46" s="3090"/>
    </row>
    <row r="47" spans="1:15" ht="12" customHeight="1">
      <c r="A47" s="157" t="s">
        <v>1778</v>
      </c>
      <c r="B47" s="158"/>
      <c r="C47" s="159"/>
      <c r="D47" s="1132" t="s">
        <v>1779</v>
      </c>
      <c r="E47" s="300" t="s">
        <v>1780</v>
      </c>
      <c r="F47" s="160" t="s">
        <v>1781</v>
      </c>
      <c r="G47" s="2498" t="s">
        <v>1782</v>
      </c>
      <c r="H47" s="2499"/>
      <c r="I47" s="156"/>
      <c r="J47" s="2475">
        <v>2</v>
      </c>
      <c r="K47" s="3089" t="s">
        <v>1783</v>
      </c>
      <c r="L47" s="3089"/>
      <c r="M47" s="3091">
        <f>'数据-取费表'!B2</f>
        <v>44848</v>
      </c>
      <c r="N47" s="3091"/>
      <c r="O47" s="3091"/>
    </row>
    <row r="48" spans="1:15" ht="25.5">
      <c r="A48" s="3154" t="s">
        <v>1784</v>
      </c>
      <c r="B48" s="3155"/>
      <c r="C48" s="3155"/>
      <c r="D48" s="15" t="b">
        <f>IF(H48="情况1",0,IF(H48="情况2",D52,IF(H48="情况3",D53,IF(H48="情况4",D54))))</f>
        <v>0</v>
      </c>
      <c r="E48" s="1385" t="str">
        <f>IF(H48="情况4","(销售额-原购置价)×税（费）率","销售额×税（费）率")</f>
        <v>销售额×税（费）率</v>
      </c>
      <c r="F48" s="2500">
        <f>IF(H48="情况1","免征",'数据-取费表'!B41)</f>
        <v>0</v>
      </c>
      <c r="G48" s="2501" t="s">
        <v>1785</v>
      </c>
      <c r="H48" s="2502"/>
      <c r="I48" s="1798"/>
      <c r="J48" s="2475">
        <v>3</v>
      </c>
      <c r="K48" s="3089" t="s">
        <v>1786</v>
      </c>
      <c r="L48" s="3089"/>
      <c r="M48" s="3092" t="e">
        <f ca="1">H101</f>
        <v>#REF!</v>
      </c>
      <c r="N48" s="3092"/>
      <c r="O48" s="3092"/>
    </row>
    <row r="49" spans="1:35" ht="25.5" customHeight="1">
      <c r="A49" s="2314" t="s">
        <v>1787</v>
      </c>
      <c r="B49" s="3137" t="s">
        <v>1788</v>
      </c>
      <c r="C49" s="3137"/>
      <c r="D49" s="1608">
        <v>0</v>
      </c>
      <c r="E49" s="322" t="s">
        <v>1789</v>
      </c>
      <c r="F49" s="2397" t="s">
        <v>34</v>
      </c>
      <c r="G49" s="3120"/>
      <c r="H49" s="2291" t="s">
        <v>2636</v>
      </c>
      <c r="I49" s="2292"/>
      <c r="J49" s="2475">
        <v>4</v>
      </c>
      <c r="K49" s="3089" t="str">
        <f>IF(项目基本情况!E8="房地产抵押价值","房地产抵押价值","抵押担保权已注销时的房地产抵押价值")</f>
        <v>抵押担保权已注销时的房地产抵押价值</v>
      </c>
      <c r="L49" s="3089"/>
      <c r="M49" s="3092" t="str">
        <f>IF(项目基本情况!E8="房地产抵押价值",H107,H109)</f>
        <v>——</v>
      </c>
      <c r="N49" s="3092"/>
      <c r="O49" s="3092"/>
    </row>
    <row r="50" spans="1:35" ht="25.5" customHeight="1">
      <c r="A50" s="2503"/>
      <c r="B50" s="3137" t="s">
        <v>1790</v>
      </c>
      <c r="C50" s="3137"/>
      <c r="D50" s="2351"/>
      <c r="E50" s="329"/>
      <c r="F50" s="2397"/>
      <c r="G50" s="3121"/>
      <c r="H50" s="2293" t="s">
        <v>2637</v>
      </c>
      <c r="I50" s="2292"/>
      <c r="J50" s="3088" t="s">
        <v>1791</v>
      </c>
      <c r="K50" s="3088"/>
      <c r="L50" s="3088"/>
      <c r="M50" s="3088"/>
      <c r="N50" s="3088"/>
      <c r="O50" s="3088"/>
    </row>
    <row r="51" spans="1:35" ht="20.45" customHeight="1">
      <c r="A51" s="2504"/>
      <c r="B51" s="3137" t="s">
        <v>1792</v>
      </c>
      <c r="C51" s="3137"/>
      <c r="D51" s="1132"/>
      <c r="E51" s="325"/>
      <c r="F51" s="2397"/>
      <c r="G51" s="3122"/>
      <c r="H51" s="2293" t="s">
        <v>2638</v>
      </c>
      <c r="I51" s="2292"/>
      <c r="J51" s="2476" t="s">
        <v>1793</v>
      </c>
      <c r="K51" s="3089" t="s">
        <v>1794</v>
      </c>
      <c r="L51" s="3089"/>
      <c r="M51" s="2476" t="s">
        <v>1795</v>
      </c>
      <c r="N51" s="2476" t="s">
        <v>1796</v>
      </c>
      <c r="O51" s="2476" t="s">
        <v>1797</v>
      </c>
    </row>
    <row r="52" spans="1:35" ht="24" customHeight="1">
      <c r="A52" s="2315" t="s">
        <v>1798</v>
      </c>
      <c r="B52" s="3137" t="s">
        <v>1799</v>
      </c>
      <c r="C52" s="3137"/>
      <c r="D52" s="1132" t="e">
        <f ca="1">ROUND(D45*'数据-取费表'!B41/(1+'数据-取费表'!C42),0)</f>
        <v>#REF!</v>
      </c>
      <c r="E52" s="1385" t="s">
        <v>1800</v>
      </c>
      <c r="F52" s="2505">
        <f>'数据-取费表'!B41</f>
        <v>0</v>
      </c>
      <c r="G52" s="2506"/>
      <c r="H52" s="2496"/>
      <c r="I52" s="1799"/>
      <c r="J52" s="2475">
        <v>1</v>
      </c>
      <c r="K52" s="3114" t="s">
        <v>1801</v>
      </c>
      <c r="L52" s="3114"/>
      <c r="M52" s="2477" t="b">
        <f>D48</f>
        <v>0</v>
      </c>
      <c r="N52" s="2475" t="str">
        <f>E48</f>
        <v>销售额×税（费）率</v>
      </c>
      <c r="O52" s="2478">
        <f>F48</f>
        <v>0</v>
      </c>
    </row>
    <row r="53" spans="1:35" ht="12" customHeight="1">
      <c r="A53" s="2315" t="s">
        <v>1802</v>
      </c>
      <c r="B53" s="3138" t="s">
        <v>2793</v>
      </c>
      <c r="C53" s="3139"/>
      <c r="D53" s="1132" t="e">
        <f ca="1">ROUND(D45*'数据-取费表'!B41/(1+'数据-取费表'!C42),0)</f>
        <v>#REF!</v>
      </c>
      <c r="E53" s="1385" t="s">
        <v>1800</v>
      </c>
      <c r="F53" s="2505">
        <f>'数据-取费表'!B41</f>
        <v>0</v>
      </c>
      <c r="G53" s="2506"/>
      <c r="H53" s="2496"/>
      <c r="I53" s="1799"/>
      <c r="J53" s="2475">
        <v>2</v>
      </c>
      <c r="K53" s="3114" t="s">
        <v>1803</v>
      </c>
      <c r="L53" s="3114"/>
      <c r="M53" s="2477" t="e">
        <f t="shared" ref="M53:O54" ca="1" si="0">D55</f>
        <v>#REF!</v>
      </c>
      <c r="N53" s="2475" t="str">
        <f t="shared" si="0"/>
        <v>销售额×税（费）率</v>
      </c>
      <c r="O53" s="2478" t="str">
        <f t="shared" si="0"/>
        <v>免征</v>
      </c>
    </row>
    <row r="54" spans="1:35" ht="12" customHeight="1">
      <c r="A54" s="2315" t="s">
        <v>1804</v>
      </c>
      <c r="B54" s="3138" t="s">
        <v>2794</v>
      </c>
      <c r="C54" s="3139"/>
      <c r="D54" s="1132" t="e">
        <f ca="1">C68</f>
        <v>#REF!</v>
      </c>
      <c r="E54" s="325" t="s">
        <v>1805</v>
      </c>
      <c r="F54" s="2505">
        <f>'数据-取费表'!B41</f>
        <v>0</v>
      </c>
      <c r="G54" s="2506"/>
      <c r="H54" s="2507"/>
      <c r="I54" s="1799"/>
      <c r="J54" s="2475">
        <v>3</v>
      </c>
      <c r="K54" s="3114" t="s">
        <v>1806</v>
      </c>
      <c r="L54" s="3114"/>
      <c r="M54" s="2477" t="e">
        <f t="shared" ca="1" si="0"/>
        <v>#REF!</v>
      </c>
      <c r="N54" s="2475" t="str">
        <f t="shared" si="0"/>
        <v>增值额×税（费）率</v>
      </c>
      <c r="O54" s="2479" t="str">
        <f t="shared" si="0"/>
        <v>免征</v>
      </c>
    </row>
    <row r="55" spans="1:35" ht="24" customHeight="1">
      <c r="A55" s="3177" t="s">
        <v>1807</v>
      </c>
      <c r="B55" s="3155"/>
      <c r="C55" s="3155"/>
      <c r="D55" s="15" t="e">
        <f ca="1">IF(H55="个人住宅",0,ROUND(D45*I55,0))</f>
        <v>#REF!</v>
      </c>
      <c r="E55" s="1385" t="s">
        <v>1808</v>
      </c>
      <c r="F55" s="2505" t="str">
        <f>IF(H55="正常",I55,"免征")</f>
        <v>免征</v>
      </c>
      <c r="G55" s="2506"/>
      <c r="H55" s="2502"/>
      <c r="I55" s="162">
        <f>'数据-取费表'!B49</f>
        <v>0</v>
      </c>
      <c r="J55" s="2475">
        <f>IF(H59="非个人房产","",4)</f>
        <v>4</v>
      </c>
      <c r="K55" s="3114" t="str">
        <f>IF(H59="非个人房产","——","个人所得税")</f>
        <v>个人所得税</v>
      </c>
      <c r="L55" s="3114"/>
      <c r="M55" s="2480" t="e">
        <f ca="1">D59</f>
        <v>#REF!</v>
      </c>
      <c r="N55" s="2014" t="str">
        <f>E59</f>
        <v>差额计税</v>
      </c>
      <c r="O55" s="2481">
        <f>F59</f>
        <v>0.01</v>
      </c>
    </row>
    <row r="56" spans="1:35" ht="24.75">
      <c r="A56" s="3177" t="s">
        <v>1809</v>
      </c>
      <c r="B56" s="3155"/>
      <c r="C56" s="3155"/>
      <c r="D56" s="15" t="e">
        <f ca="1">IF(H56="个人住宅",D57,D58)</f>
        <v>#REF!</v>
      </c>
      <c r="E56" s="1385" t="s">
        <v>1810</v>
      </c>
      <c r="F56" s="2505" t="str">
        <f>IF(H56="正常",F58,"免征")</f>
        <v>免征</v>
      </c>
      <c r="G56" s="2508" t="s">
        <v>1811</v>
      </c>
      <c r="H56" s="2509"/>
      <c r="I56" s="1800"/>
      <c r="J56" s="2475" t="str">
        <f>IF(项目基本情况!K6="上海银行",IF(J55="",4,J55+1),"")</f>
        <v/>
      </c>
      <c r="K56" s="3095" t="str">
        <f>IF(项目基本情况!K6="上海银行","其他处置费用","")</f>
        <v/>
      </c>
      <c r="L56" s="3096"/>
      <c r="M56" s="2477" t="str">
        <f>IF(项目基本情况!K6="上海银行",M69,"")</f>
        <v/>
      </c>
      <c r="N56" s="3095" t="str">
        <f>IF(项目基本情况!K6="上海银行","包含处置中涉及的律师、诉讼、拍卖、评估等费用","")</f>
        <v/>
      </c>
      <c r="O56" s="3098"/>
    </row>
    <row r="57" spans="1:35" ht="12.75">
      <c r="A57" s="2315" t="s">
        <v>1787</v>
      </c>
      <c r="B57" s="3138" t="s">
        <v>1812</v>
      </c>
      <c r="C57" s="3139"/>
      <c r="D57" s="1608">
        <v>0</v>
      </c>
      <c r="E57" s="322" t="s">
        <v>1789</v>
      </c>
      <c r="F57" s="300"/>
      <c r="G57" s="2506"/>
      <c r="H57" s="2510"/>
      <c r="I57" s="1800"/>
      <c r="J57" s="3114">
        <f>IF(AND(J55="",J56=""),4,IF(项目基本情况!K6="上海银行",结果表!J56+1,结果表!J55+1))</f>
        <v>5</v>
      </c>
      <c r="K57" s="3114" t="s">
        <v>1813</v>
      </c>
      <c r="L57" s="2482" t="s">
        <v>1814</v>
      </c>
      <c r="M57" s="2483"/>
      <c r="N57" s="2484">
        <f ca="1">SUMIF(M52:M56,"&lt;9e307")</f>
        <v>0</v>
      </c>
      <c r="O57" s="2485"/>
      <c r="P57" s="2631" t="e">
        <f ca="1">N57/M49</f>
        <v>#VALUE!</v>
      </c>
    </row>
    <row r="58" spans="1:35" ht="24.75">
      <c r="A58" s="2315" t="s">
        <v>1798</v>
      </c>
      <c r="B58" s="3138" t="s">
        <v>1815</v>
      </c>
      <c r="C58" s="3137"/>
      <c r="D58" s="15" t="e">
        <f ca="1">IF(H58="转让取得",C81,C97)</f>
        <v>#REF!</v>
      </c>
      <c r="E58" s="1385" t="s">
        <v>1810</v>
      </c>
      <c r="F58" s="300" t="s">
        <v>34</v>
      </c>
      <c r="G58" s="2506"/>
      <c r="H58" s="2509"/>
      <c r="I58" s="1800"/>
      <c r="J58" s="3114"/>
      <c r="K58" s="3114"/>
      <c r="L58" s="2482" t="s">
        <v>1816</v>
      </c>
      <c r="M58" s="2486"/>
      <c r="N58" s="2487" t="str">
        <f ca="1">NUMBERSTRING(INT(N57*10000),2)&amp;"元整"</f>
        <v>零元整</v>
      </c>
      <c r="O58" s="2488"/>
    </row>
    <row r="59" spans="1:35" ht="24.75" thickBot="1">
      <c r="A59" s="3118" t="s">
        <v>1817</v>
      </c>
      <c r="B59" s="3119"/>
      <c r="C59" s="3119"/>
      <c r="D59" s="2511" t="e">
        <f ca="1">IF(H59="非个人房产","——",IF(H59="个人住宅（满五唯一有凭证）",0,IF(H59="个人其他（无凭证）",ROUND(D45*F59,0),ROUND(C67*F59,0))))</f>
        <v>#REF!</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1811</v>
      </c>
      <c r="H59" s="2295"/>
      <c r="I59" s="2294" t="s">
        <v>2639</v>
      </c>
      <c r="J59" s="3116">
        <f>J57+1</f>
        <v>6</v>
      </c>
      <c r="K59" s="3114" t="s">
        <v>1818</v>
      </c>
      <c r="L59" s="2475" t="s">
        <v>1814</v>
      </c>
      <c r="M59" s="2489"/>
      <c r="N59" s="2490" t="e">
        <f ca="1">M49-N57</f>
        <v>#VALUE!</v>
      </c>
      <c r="O59" s="2491"/>
    </row>
    <row r="60" spans="1:35" ht="12" customHeight="1">
      <c r="A60" s="1801"/>
      <c r="B60" s="655"/>
      <c r="C60" s="655"/>
      <c r="D60" s="655"/>
      <c r="E60" s="1596"/>
      <c r="F60" s="1800"/>
      <c r="G60" s="1800"/>
      <c r="H60" s="156"/>
      <c r="I60" s="126"/>
      <c r="J60" s="3117"/>
      <c r="K60" s="3114"/>
      <c r="L60" s="2482" t="s">
        <v>1816</v>
      </c>
      <c r="M60" s="2486"/>
      <c r="N60" s="2487" t="e">
        <f ca="1">NUMBERSTRING(INT(N59*10000),2)&amp;"元整"</f>
        <v>#VALUE!</v>
      </c>
      <c r="O60" s="2488"/>
    </row>
    <row r="61" spans="1:35" ht="13.5" thickBot="1">
      <c r="A61" s="3176" t="s">
        <v>1819</v>
      </c>
      <c r="B61" s="3176"/>
      <c r="C61" s="3176"/>
      <c r="D61" s="3176"/>
      <c r="E61" s="3176"/>
      <c r="F61" s="1800"/>
      <c r="G61" s="1800"/>
      <c r="H61" s="156"/>
      <c r="I61" s="126"/>
      <c r="J61" s="2475">
        <f>J59+1</f>
        <v>7</v>
      </c>
      <c r="K61" s="3114" t="s">
        <v>1820</v>
      </c>
      <c r="L61" s="3114"/>
      <c r="M61" s="2492"/>
      <c r="N61" s="2493" t="e">
        <f ca="1">ROUND(N59*10000/'数据-汇总表'!E3,0)</f>
        <v>#VALUE!</v>
      </c>
      <c r="O61" s="2494"/>
    </row>
    <row r="62" spans="1:35" ht="12.75">
      <c r="A62" s="3133" t="s">
        <v>1821</v>
      </c>
      <c r="B62" s="3134"/>
      <c r="C62" s="1997"/>
      <c r="D62" s="1997" t="s">
        <v>1822</v>
      </c>
      <c r="E62" s="163" t="s">
        <v>1823</v>
      </c>
      <c r="F62" s="1800"/>
      <c r="G62" s="1800"/>
      <c r="H62" s="156"/>
      <c r="I62" s="126"/>
    </row>
    <row r="63" spans="1:35" ht="12.75">
      <c r="A63" s="170" t="s">
        <v>594</v>
      </c>
      <c r="B63" s="164" t="s">
        <v>1824</v>
      </c>
      <c r="C63" s="2515" t="e">
        <f ca="1">ROUND((C64+C65)/(1+'数据-取费表'!C42),0)</f>
        <v>#REF!</v>
      </c>
      <c r="D63" s="164"/>
      <c r="E63" s="165"/>
      <c r="F63" s="1800"/>
      <c r="G63" s="1800"/>
      <c r="H63" s="156"/>
      <c r="I63" s="126"/>
      <c r="J63" s="3097" t="s">
        <v>1825</v>
      </c>
      <c r="K63" s="1360" t="s">
        <v>1826</v>
      </c>
      <c r="L63" s="1360" t="e">
        <f>IF(M49&gt;10000,M49*0.5%,IF(AND(M49&gt;1000,M49&lt;=10000),M49*1%,IF(AND(M49&gt;100,M49&lt;=1000),M49*3%,IF(AND(M49&gt;10,M49&lt;=100),M49*5%,M49*8%))))</f>
        <v>#VALUE!</v>
      </c>
      <c r="M63" s="300" t="e">
        <f>ROUND(L63,1)</f>
        <v>#VALUE!</v>
      </c>
      <c r="N63" s="2495"/>
      <c r="Z63" s="1753"/>
      <c r="AI63" s="1691"/>
    </row>
    <row r="64" spans="1:35" ht="14.25" customHeight="1">
      <c r="A64" s="166" t="s">
        <v>589</v>
      </c>
      <c r="B64" s="167" t="s">
        <v>1827</v>
      </c>
      <c r="C64" s="2516" t="e">
        <f ca="1">D45</f>
        <v>#REF!</v>
      </c>
      <c r="D64" s="167" t="s">
        <v>32</v>
      </c>
      <c r="E64" s="169"/>
      <c r="F64" s="1800"/>
      <c r="G64" s="1800"/>
      <c r="H64" s="156"/>
      <c r="I64" s="126"/>
      <c r="J64" s="3097"/>
      <c r="K64" s="1360" t="s">
        <v>1828</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6" t="s">
        <v>1829</v>
      </c>
      <c r="Z64" s="1753"/>
      <c r="AI64" s="1691"/>
    </row>
    <row r="65" spans="1:35" ht="14.25" customHeight="1">
      <c r="A65" s="166" t="s">
        <v>590</v>
      </c>
      <c r="B65" s="167" t="s">
        <v>1830</v>
      </c>
      <c r="C65" s="2517"/>
      <c r="D65" s="167"/>
      <c r="E65" s="169"/>
      <c r="F65" s="1800"/>
      <c r="G65" s="1800"/>
      <c r="H65" s="156"/>
      <c r="I65" s="126"/>
      <c r="J65" s="3097"/>
      <c r="K65" s="1360" t="s">
        <v>1831</v>
      </c>
      <c r="L65" s="1360" t="e">
        <f>IF(M49&gt;1000,M49*0.1%,IF(AND(M49&gt;500,M49&lt;=1000),M49*0.5%,IF(AND(M49&gt;50,M49&lt;=500),M49*1%,IF(AND(M49&gt;1,M49&lt;=50),M49*1.5%))))</f>
        <v>#VALUE!</v>
      </c>
      <c r="M65" s="300" t="e">
        <f t="shared" si="1"/>
        <v>#VALUE!</v>
      </c>
      <c r="N65" s="2496" t="s">
        <v>1829</v>
      </c>
      <c r="Z65" s="1753"/>
      <c r="AI65" s="1691"/>
    </row>
    <row r="66" spans="1:35" ht="14.25" customHeight="1">
      <c r="A66" s="170" t="s">
        <v>591</v>
      </c>
      <c r="B66" s="171" t="s">
        <v>1832</v>
      </c>
      <c r="C66" s="2518"/>
      <c r="D66" s="171" t="s">
        <v>32</v>
      </c>
      <c r="E66" s="1367" t="s">
        <v>1096</v>
      </c>
      <c r="F66" s="1800"/>
      <c r="G66" s="1800"/>
      <c r="H66" s="156"/>
      <c r="I66" s="126"/>
      <c r="J66" s="3097"/>
      <c r="K66" s="1360" t="s">
        <v>1833</v>
      </c>
      <c r="L66" s="1360" t="e">
        <f>M49*0.5%</f>
        <v>#VALUE!</v>
      </c>
      <c r="M66" s="300" t="e">
        <f>IF(L66&gt;0.5,0.5,ROUND(L66,0))</f>
        <v>#VALUE!</v>
      </c>
      <c r="N66" s="2496" t="s">
        <v>1834</v>
      </c>
      <c r="Z66" s="1753"/>
      <c r="AI66" s="1691"/>
    </row>
    <row r="67" spans="1:35" ht="14.25" customHeight="1">
      <c r="A67" s="170" t="s">
        <v>592</v>
      </c>
      <c r="B67" s="171" t="s">
        <v>1835</v>
      </c>
      <c r="C67" s="2519" t="e">
        <f ca="1">C63-C66</f>
        <v>#REF!</v>
      </c>
      <c r="D67" s="167" t="s">
        <v>32</v>
      </c>
      <c r="E67" s="169"/>
      <c r="F67" s="1800"/>
      <c r="G67" s="1800"/>
      <c r="H67" s="156"/>
      <c r="I67" s="126"/>
      <c r="J67" s="3097"/>
      <c r="K67" s="1360" t="s">
        <v>1836</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5"/>
      <c r="Z67" s="1753"/>
      <c r="AI67" s="1691"/>
    </row>
    <row r="68" spans="1:35" ht="14.25" customHeight="1" thickBot="1">
      <c r="A68" s="173" t="s">
        <v>593</v>
      </c>
      <c r="B68" s="174" t="s">
        <v>1837</v>
      </c>
      <c r="C68" s="2520" t="e">
        <f ca="1">IF(C67&lt;=0,0,ROUND(C67*D68,0))</f>
        <v>#REF!</v>
      </c>
      <c r="D68" s="2521">
        <f>'数据-取费表'!B41</f>
        <v>0</v>
      </c>
      <c r="E68" s="176"/>
      <c r="F68" s="1800"/>
      <c r="G68" s="1800"/>
      <c r="H68" s="156"/>
      <c r="I68" s="126"/>
      <c r="J68" s="3097"/>
      <c r="K68" s="1360" t="s">
        <v>1838</v>
      </c>
      <c r="L68" s="1360" t="e">
        <f>IF(M49&gt;10000,M49*0.5%,IF(AND(M49&gt;5000,M49&lt;=10000),M49*1%,IF(AND(M49&gt;1000,M49&lt;=5000),M49*2%,IF(AND(M49&gt;200,M49&lt;=1000),M49*3%,M49*5%))))</f>
        <v>#VALUE!</v>
      </c>
      <c r="M68" s="300" t="e">
        <f>ROUND(L68,1)</f>
        <v>#VALUE!</v>
      </c>
      <c r="N68" s="2495"/>
      <c r="Z68" s="1753"/>
      <c r="AI68" s="1691"/>
    </row>
    <row r="69" spans="1:35" ht="16.5" customHeight="1">
      <c r="A69" s="1802"/>
      <c r="B69" s="1803"/>
      <c r="C69" s="1804"/>
      <c r="D69" s="1805"/>
      <c r="E69" s="1806"/>
      <c r="F69" s="1596"/>
      <c r="G69" s="1596"/>
      <c r="H69" s="1597"/>
      <c r="I69" s="655"/>
      <c r="J69" s="3097"/>
      <c r="K69" s="1360" t="s">
        <v>1839</v>
      </c>
      <c r="L69" s="1360"/>
      <c r="M69" s="300" t="e">
        <f>ROUND(SUM(M63:M68),0)</f>
        <v>#VALUE!</v>
      </c>
      <c r="N69" s="2497" t="e">
        <f>M69/M49</f>
        <v>#VALUE!</v>
      </c>
      <c r="Z69" s="1753"/>
      <c r="AI69" s="1691"/>
    </row>
    <row r="70" spans="1:35" s="651" customFormat="1" ht="15" thickBot="1">
      <c r="A70" s="3141" t="s">
        <v>1840</v>
      </c>
      <c r="B70" s="3142"/>
      <c r="C70" s="3142"/>
      <c r="D70" s="3142"/>
      <c r="E70" s="3142"/>
      <c r="F70" s="3142"/>
      <c r="G70" s="3142"/>
      <c r="H70" s="3142"/>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133" t="s">
        <v>1821</v>
      </c>
      <c r="B71" s="3134"/>
      <c r="C71" s="1997"/>
      <c r="D71" s="1997" t="s">
        <v>1822</v>
      </c>
      <c r="E71" s="177" t="s">
        <v>1823</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1841</v>
      </c>
      <c r="C72" s="2519" t="e">
        <f ca="1">ROUND(D45/(1+'数据-取费表'!C42),0)</f>
        <v>#REF!</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1842</v>
      </c>
      <c r="C73" s="2519" t="e">
        <f ca="1">C74+C78</f>
        <v>#REF!</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1843</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1844</v>
      </c>
      <c r="C75" s="2522"/>
      <c r="D75" s="167" t="s">
        <v>32</v>
      </c>
      <c r="E75" s="182" t="s">
        <v>1845</v>
      </c>
      <c r="F75" s="2523"/>
      <c r="G75" s="182" t="s">
        <v>1846</v>
      </c>
      <c r="H75" s="2524"/>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1847</v>
      </c>
      <c r="C76" s="167">
        <f>IF(F75="购房发票",ROUND(C75*H75*D76,0),0)</f>
        <v>0</v>
      </c>
      <c r="D76" s="2525">
        <v>0.05</v>
      </c>
      <c r="E76" s="3138" t="s">
        <v>1848</v>
      </c>
      <c r="F76" s="3137"/>
      <c r="G76" s="3137"/>
      <c r="H76" s="3140"/>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1849</v>
      </c>
      <c r="C77" s="167">
        <f>ROUND(IF(G77="个人住宅",0,IF(G77="2016年5月1日前购买",C75*D77,C75*D77/(1+'数据-取费表'!C42))),0)</f>
        <v>0</v>
      </c>
      <c r="D77" s="2526">
        <f>'数据-取费表'!B48+'数据-取费表'!B49</f>
        <v>0</v>
      </c>
      <c r="E77" s="15" t="s">
        <v>1850</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1851</v>
      </c>
      <c r="C78" s="2527" t="e">
        <f ca="1">ROUND(D45*D78/(1+'数据-取费表'!C42),0)</f>
        <v>#REF!</v>
      </c>
      <c r="D78" s="2528">
        <f>'数据-取费表'!B43</f>
        <v>0</v>
      </c>
      <c r="E78" s="3130" t="s">
        <v>1852</v>
      </c>
      <c r="F78" s="3131"/>
      <c r="G78" s="3131"/>
      <c r="H78" s="3132"/>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1853</v>
      </c>
      <c r="C79" s="2519" t="e">
        <f ca="1">C72-C73</f>
        <v>#REF!</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1854</v>
      </c>
      <c r="C80" s="2529"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1855</v>
      </c>
      <c r="C81" s="2530" t="e">
        <f ca="1">ROUND(IF(C79&lt;=0,0,IF(C80&gt;=200%,C79*60%-C73*35%,IF(C80&gt;=100%,C79*50%-C73*15%,IF(C80&gt;=50%,C79*40%-C73*5%,IF(C80&lt;50%,C79*30%,0))))),0)</f>
        <v>#REF!</v>
      </c>
      <c r="D81" s="2531"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141" t="s">
        <v>1856</v>
      </c>
      <c r="B83" s="3142"/>
      <c r="C83" s="3142"/>
      <c r="D83" s="3142"/>
      <c r="E83" s="3142"/>
      <c r="F83" s="3142"/>
      <c r="G83" s="3142"/>
      <c r="H83" s="314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133" t="s">
        <v>1821</v>
      </c>
      <c r="B84" s="3134"/>
      <c r="C84" s="1997"/>
      <c r="D84" s="1997" t="s">
        <v>1822</v>
      </c>
      <c r="E84" s="177" t="s">
        <v>1823</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1841</v>
      </c>
      <c r="C85" s="2519" t="e">
        <f ca="1">ROUND(D45/(1+'数据-取费表'!C42),0)</f>
        <v>#REF!</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1842</v>
      </c>
      <c r="C86" s="2519" t="e">
        <f ca="1">IF(H88="仅含出让金",C87+C90+C91+C92+C93+C94,C87+C91+C92+C93+C94)</f>
        <v>#REF!</v>
      </c>
      <c r="D86" s="2532"/>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1857</v>
      </c>
      <c r="C87" s="2527">
        <f>C88+C89</f>
        <v>0</v>
      </c>
      <c r="D87" s="2528"/>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1858</v>
      </c>
      <c r="C88" s="2533"/>
      <c r="D88" s="2528"/>
      <c r="E88" s="191" t="s">
        <v>1859</v>
      </c>
      <c r="F88" s="2310"/>
      <c r="G88" s="192" t="s">
        <v>1860</v>
      </c>
      <c r="H88" s="1814"/>
      <c r="I88" s="1811"/>
      <c r="J88" s="2473" t="s">
        <v>2790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1849</v>
      </c>
      <c r="C89" s="2527">
        <f>ROUND(C88*D89,0)</f>
        <v>0</v>
      </c>
      <c r="D89" s="2528">
        <f>'数据-取费表'!B48+'数据-取费表'!B49</f>
        <v>0</v>
      </c>
      <c r="E89" s="191" t="s">
        <v>1861</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1862</v>
      </c>
      <c r="C90" s="2533"/>
      <c r="D90" s="2528"/>
      <c r="E90" s="191" t="str">
        <f>IF(H88="-","土地取得成本中已包含该笔费用"," ")</f>
        <v xml:space="preserve"> </v>
      </c>
      <c r="F90" s="2310"/>
      <c r="G90" s="3099" t="s">
        <v>2631</v>
      </c>
      <c r="H90" s="3100"/>
      <c r="I90" s="1811"/>
      <c r="J90" s="2473" t="s">
        <v>2791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1863</v>
      </c>
      <c r="B91" s="167" t="s">
        <v>1864</v>
      </c>
      <c r="C91" s="2527">
        <f>IF(H91="——",成本法!C33,I91)</f>
        <v>0</v>
      </c>
      <c r="D91" s="2528"/>
      <c r="E91" s="3130" t="s">
        <v>1865</v>
      </c>
      <c r="F91" s="3131"/>
      <c r="G91" s="313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1866</v>
      </c>
      <c r="B92" s="167" t="s">
        <v>1867</v>
      </c>
      <c r="C92" s="2527">
        <f>ROUND((C87+C90+C91)*D92,0)</f>
        <v>0</v>
      </c>
      <c r="D92" s="2534"/>
      <c r="E92" s="3130" t="s">
        <v>1868</v>
      </c>
      <c r="F92" s="3131"/>
      <c r="G92" s="3131"/>
      <c r="H92" s="3132"/>
      <c r="I92" s="1811"/>
      <c r="J92" s="2474" t="s">
        <v>2792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1869</v>
      </c>
      <c r="B93" s="167" t="s">
        <v>1851</v>
      </c>
      <c r="C93" s="2527" t="e">
        <f ca="1">ROUND(D45*D93/(1+'数据-取费表'!C42),0)</f>
        <v>#REF!</v>
      </c>
      <c r="D93" s="2528">
        <f>'数据-取费表'!B43</f>
        <v>0</v>
      </c>
      <c r="E93" s="3130" t="s">
        <v>1852</v>
      </c>
      <c r="F93" s="3131"/>
      <c r="G93" s="3131"/>
      <c r="H93" s="313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1870</v>
      </c>
      <c r="B94" s="167" t="s">
        <v>1871</v>
      </c>
      <c r="C94" s="2533">
        <f>ROUND((C87+C90+C91)*D94,0)</f>
        <v>0</v>
      </c>
      <c r="D94" s="2528">
        <v>0.2</v>
      </c>
      <c r="E94" s="3178" t="s">
        <v>1872</v>
      </c>
      <c r="F94" s="3179"/>
      <c r="G94" s="3179"/>
      <c r="H94" s="3180"/>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1853</v>
      </c>
      <c r="C95" s="2519" t="e">
        <f ca="1">ROUND(C85-C86,0)</f>
        <v>#REF!</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1854</v>
      </c>
      <c r="C96" s="2529"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1855</v>
      </c>
      <c r="C97" s="2530" t="e">
        <f ca="1">ROUND(IF(C95&lt;=0,0,IF(C96&gt;=200%,C95*60%-C86*35%,IF(C96&gt;=100%,C95*50%-C86*15%,IF(C96&gt;=50%,C95*40%-C86*5%,IF(C96&lt;50%,C95*30%,0))))),0)</f>
        <v>#REF!</v>
      </c>
      <c r="D97" s="2531"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1873</v>
      </c>
      <c r="B99" s="655"/>
      <c r="C99" s="655"/>
      <c r="D99" s="655"/>
      <c r="E99" s="1596"/>
      <c r="F99" s="1596"/>
      <c r="G99" s="1596"/>
      <c r="H99" s="1597"/>
      <c r="I99" s="126"/>
    </row>
    <row r="100" spans="1:35" ht="18.75" customHeight="1">
      <c r="A100" s="3080" t="s">
        <v>1874</v>
      </c>
      <c r="B100" s="3081"/>
      <c r="C100" s="3081"/>
      <c r="D100" s="3115"/>
      <c r="E100" s="3081" t="s">
        <v>1875</v>
      </c>
      <c r="F100" s="3081"/>
      <c r="G100" s="3081"/>
      <c r="H100" s="3115"/>
      <c r="I100" s="126"/>
    </row>
    <row r="101" spans="1:35" ht="18.75" customHeight="1">
      <c r="A101" s="3123" t="s">
        <v>1876</v>
      </c>
      <c r="B101" s="3124"/>
      <c r="C101" s="2536" t="str">
        <f>C4</f>
        <v>比较法-办公</v>
      </c>
      <c r="D101" s="2537" t="str">
        <f>D4</f>
        <v>成本法</v>
      </c>
      <c r="E101" s="3093" t="s">
        <v>1877</v>
      </c>
      <c r="F101" s="3094"/>
      <c r="G101" s="1817" t="s">
        <v>1878</v>
      </c>
      <c r="H101" s="2546" t="e">
        <f ca="1">H118</f>
        <v>#REF!</v>
      </c>
      <c r="I101" s="126"/>
    </row>
    <row r="102" spans="1:35" ht="18.75" customHeight="1">
      <c r="A102" s="3125" t="s">
        <v>1879</v>
      </c>
      <c r="B102" s="2535" t="s">
        <v>1878</v>
      </c>
      <c r="C102" s="2536">
        <f ca="1">C19</f>
        <v>6</v>
      </c>
      <c r="D102" s="2537" t="e">
        <f ca="1">D19</f>
        <v>#VALUE!</v>
      </c>
      <c r="E102" s="3093"/>
      <c r="F102" s="3094"/>
      <c r="G102" s="1817" t="s">
        <v>1880</v>
      </c>
      <c r="H102" s="2506" t="e">
        <f ca="1">I118</f>
        <v>#REF!</v>
      </c>
      <c r="I102" s="126"/>
    </row>
    <row r="103" spans="1:35" ht="42.75" customHeight="1">
      <c r="A103" s="3125"/>
      <c r="B103" s="2535" t="s">
        <v>1880</v>
      </c>
      <c r="C103" s="2538">
        <f ca="1">C20</f>
        <v>5.0999999999999996</v>
      </c>
      <c r="D103" s="2539" t="e">
        <f ca="1">D20</f>
        <v>#VALUE!</v>
      </c>
      <c r="E103" s="3086" t="s">
        <v>1881</v>
      </c>
      <c r="F103" s="3087"/>
      <c r="G103" s="1818" t="s">
        <v>1882</v>
      </c>
      <c r="H103" s="2546">
        <f>IF(D36="正常操作",H104+H105+H106,H105+H106)</f>
        <v>0</v>
      </c>
      <c r="I103" s="126"/>
    </row>
    <row r="104" spans="1:35" ht="18.75" customHeight="1">
      <c r="A104" s="3125" t="s">
        <v>1883</v>
      </c>
      <c r="B104" s="2540" t="s">
        <v>1878</v>
      </c>
      <c r="C104" s="2541" t="e">
        <f ca="1">H118</f>
        <v>#REF!</v>
      </c>
      <c r="D104" s="2542"/>
      <c r="E104" s="1685" t="s">
        <v>1884</v>
      </c>
      <c r="F104" s="1678"/>
      <c r="G104" s="1818" t="s">
        <v>1882</v>
      </c>
      <c r="H104" s="2547">
        <f>IF(D36="同一抵押权人同一抵押物续贷",C36&amp;"（续贷，未扣减，详见特别提示）",C36)</f>
        <v>0</v>
      </c>
      <c r="I104" s="126"/>
    </row>
    <row r="105" spans="1:35" ht="18.75" customHeight="1" thickBot="1">
      <c r="A105" s="3135"/>
      <c r="B105" s="2543" t="s">
        <v>1880</v>
      </c>
      <c r="C105" s="2544" t="e">
        <f ca="1">I118</f>
        <v>#REF!</v>
      </c>
      <c r="D105" s="2545"/>
      <c r="E105" s="1685" t="s">
        <v>1885</v>
      </c>
      <c r="F105" s="1678"/>
      <c r="G105" s="1818" t="s">
        <v>1882</v>
      </c>
      <c r="H105" s="2548">
        <f>C37</f>
        <v>0</v>
      </c>
      <c r="I105" s="126"/>
    </row>
    <row r="106" spans="1:35" ht="18.75" customHeight="1">
      <c r="A106" s="655" t="s">
        <v>1886</v>
      </c>
      <c r="B106" s="655"/>
      <c r="C106" s="655"/>
      <c r="D106" s="655"/>
      <c r="E106" s="1819" t="s">
        <v>1887</v>
      </c>
      <c r="F106" s="1678"/>
      <c r="G106" s="1818" t="s">
        <v>1882</v>
      </c>
      <c r="H106" s="2548">
        <f>C38</f>
        <v>0</v>
      </c>
      <c r="I106" s="126"/>
    </row>
    <row r="107" spans="1:35" ht="18.75" customHeight="1">
      <c r="A107" s="126"/>
      <c r="B107" s="126"/>
      <c r="C107" s="126"/>
      <c r="D107" s="126"/>
      <c r="E107" s="3126" t="str">
        <f>IF(项目基本情况!E8="已注销","——","3.房地产抵押价值")</f>
        <v>3.房地产抵押价值</v>
      </c>
      <c r="F107" s="3094"/>
      <c r="G107" s="1817" t="s">
        <v>1878</v>
      </c>
      <c r="H107" s="2546" t="e">
        <f ca="1">IF(E107="——","——",H101-H103)</f>
        <v>#REF!</v>
      </c>
      <c r="I107" s="126"/>
    </row>
    <row r="108" spans="1:35" ht="18.75" customHeight="1">
      <c r="A108" s="126"/>
      <c r="B108" s="126"/>
      <c r="C108" s="126"/>
      <c r="D108" s="126"/>
      <c r="E108" s="3126"/>
      <c r="F108" s="3094"/>
      <c r="G108" s="1817" t="s">
        <v>1880</v>
      </c>
      <c r="H108" s="2506" t="e">
        <f ca="1">ROUND(H107*10000/'数据-汇总表'!E3,0)</f>
        <v>#REF!</v>
      </c>
      <c r="I108" s="126"/>
    </row>
    <row r="109" spans="1:35" ht="18.75" customHeight="1">
      <c r="A109" s="126"/>
      <c r="B109" s="126"/>
      <c r="C109" s="126"/>
      <c r="D109" s="126"/>
      <c r="E109" s="3126" t="str">
        <f>IF(项目基本情况!E8="已注销及未注销","4.抵押担保权已注销时的房地产抵押价值",IF(项目基本情况!E8="已注销","3.抵押担保权已注销时的房地产抵押价值","——"))</f>
        <v>——</v>
      </c>
      <c r="F109" s="3094"/>
      <c r="G109" s="1817" t="s">
        <v>1878</v>
      </c>
      <c r="H109" s="2549" t="str">
        <f>IF(E109="——","——",H101-H105-H106)</f>
        <v>——</v>
      </c>
      <c r="I109" s="126"/>
    </row>
    <row r="110" spans="1:35" ht="18.75" customHeight="1">
      <c r="A110" s="126"/>
      <c r="B110" s="126"/>
      <c r="C110" s="126"/>
      <c r="D110" s="126"/>
      <c r="E110" s="3126"/>
      <c r="F110" s="3094"/>
      <c r="G110" s="1817" t="s">
        <v>1880</v>
      </c>
      <c r="H110" s="2506" t="str">
        <f>IF(H109="——","——",ROUND(H109*10000/'数据-汇总表'!E3,0))</f>
        <v>——</v>
      </c>
      <c r="I110" s="126"/>
    </row>
    <row r="111" spans="1:35" ht="18.75" customHeight="1">
      <c r="A111" s="126"/>
      <c r="B111" s="126"/>
      <c r="C111" s="126"/>
      <c r="D111" s="126"/>
      <c r="E111" s="3127" t="str">
        <f>IF(项目基本情况!E9="抵押净值",IF(OR(项目基本情况!E8="已注销",项目基本情况!E8="房地产抵押价值"),"4.抵押净值","5.抵押净值"),"——")</f>
        <v>——</v>
      </c>
      <c r="F111" s="3113"/>
      <c r="G111" s="1817" t="s">
        <v>1878</v>
      </c>
      <c r="H111" s="2546" t="str">
        <f>IF(E111="——","——",N59)</f>
        <v>——</v>
      </c>
      <c r="I111" s="126"/>
    </row>
    <row r="112" spans="1:35" ht="18.75" customHeight="1" thickBot="1">
      <c r="A112" s="126"/>
      <c r="B112" s="126"/>
      <c r="C112" s="126"/>
      <c r="D112" s="126"/>
      <c r="E112" s="3128"/>
      <c r="F112" s="3129"/>
      <c r="G112" s="1820" t="s">
        <v>1880</v>
      </c>
      <c r="H112" s="2550" t="str">
        <f>IF(E111="——","——",N61)</f>
        <v>——</v>
      </c>
      <c r="I112" s="126"/>
    </row>
    <row r="113" spans="1:27" ht="18.75" customHeight="1">
      <c r="A113" s="126"/>
      <c r="B113" s="126"/>
      <c r="C113" s="126"/>
      <c r="D113" s="126"/>
      <c r="E113" s="3136" t="s">
        <v>1886</v>
      </c>
      <c r="F113" s="3136"/>
      <c r="G113" s="3136"/>
      <c r="H113" s="3136"/>
      <c r="I113" s="126"/>
    </row>
    <row r="114" spans="1:27" ht="3.75" customHeight="1">
      <c r="A114" s="655"/>
      <c r="B114" s="655"/>
      <c r="C114" s="655"/>
      <c r="D114" s="655"/>
      <c r="E114" s="1801"/>
      <c r="F114" s="1801"/>
      <c r="G114" s="1801"/>
      <c r="H114" s="1801"/>
      <c r="I114" s="655"/>
    </row>
    <row r="115" spans="1:27" ht="18.75" customHeight="1">
      <c r="A115" s="3147" t="s">
        <v>1888</v>
      </c>
      <c r="B115" s="3148"/>
      <c r="C115" s="3148"/>
      <c r="D115" s="3148"/>
      <c r="E115" s="3148"/>
      <c r="F115" s="3148"/>
      <c r="G115" s="3148"/>
      <c r="H115" s="3148"/>
      <c r="I115" s="3149"/>
    </row>
    <row r="116" spans="1:27" ht="27" customHeight="1">
      <c r="A116" s="3101" t="s">
        <v>1889</v>
      </c>
      <c r="B116" s="3105" t="s">
        <v>1890</v>
      </c>
      <c r="C116" s="3105" t="s">
        <v>1891</v>
      </c>
      <c r="D116" s="3111" t="s">
        <v>1892</v>
      </c>
      <c r="E116" s="3112"/>
      <c r="F116" s="3143" t="s">
        <v>1893</v>
      </c>
      <c r="G116" s="3143"/>
      <c r="H116" s="3101" t="s">
        <v>1894</v>
      </c>
      <c r="I116" s="3101"/>
    </row>
    <row r="117" spans="1:27" ht="18.75" customHeight="1">
      <c r="A117" s="3101"/>
      <c r="B117" s="3106"/>
      <c r="C117" s="3106"/>
      <c r="D117" s="2312" t="s">
        <v>1895</v>
      </c>
      <c r="E117" s="2312" t="s">
        <v>1896</v>
      </c>
      <c r="F117" s="2312" t="s">
        <v>1895</v>
      </c>
      <c r="G117" s="2312" t="s">
        <v>1897</v>
      </c>
      <c r="H117" s="2312" t="s">
        <v>1895</v>
      </c>
      <c r="I117" s="2312" t="s">
        <v>1897</v>
      </c>
    </row>
    <row r="118" spans="1:27" ht="24.75" customHeight="1">
      <c r="A118" s="2551" t="str">
        <f>项目基本情况!S2</f>
        <v>北京市房地产</v>
      </c>
      <c r="B118" s="2312">
        <f>M18</f>
        <v>11320.8</v>
      </c>
      <c r="C118" s="2312">
        <f>M19</f>
        <v>8778.75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t="e">
        <f ca="1">ROUND(IF(D32="总价",C32,I118*B118/10000),0)</f>
        <v>#REF!</v>
      </c>
      <c r="I118" s="2312" t="e">
        <f ca="1">ROUND(IF(D32="楼面单价",C32,H118*10000/B118),0)</f>
        <v>#REF!</v>
      </c>
    </row>
    <row r="119" spans="1:27" ht="18.75" customHeight="1">
      <c r="A119" s="3101" t="s">
        <v>1898</v>
      </c>
      <c r="B119" s="3101"/>
      <c r="C119" s="3101"/>
      <c r="D119" s="3107" t="e">
        <f ca="1">NUMBERSTRING(INT(D118*10000),2)&amp;"元整"</f>
        <v>#REF!</v>
      </c>
      <c r="E119" s="3108"/>
      <c r="F119" s="3107" t="e">
        <f ca="1">NUMBERSTRING(INT(F118*10000),2)&amp;"元整"</f>
        <v>#REF!</v>
      </c>
      <c r="G119" s="3108"/>
      <c r="H119" s="3107" t="e">
        <f ca="1">NUMBERSTRING(INT(H118*10000),2)&amp;"元整"</f>
        <v>#REF!</v>
      </c>
      <c r="I119" s="3108"/>
    </row>
    <row r="120" spans="1:27" ht="18.75" customHeight="1">
      <c r="A120" s="3102" t="str">
        <f>IF(项目基本情况!B9="房地产市场价值","",MID(E103,3,LEN(E103)-2))</f>
        <v/>
      </c>
      <c r="B120" s="3103"/>
      <c r="C120" s="3104"/>
      <c r="D120" s="3102">
        <f>H103</f>
        <v>0</v>
      </c>
      <c r="E120" s="3103"/>
      <c r="F120" s="3103"/>
      <c r="G120" s="3103"/>
      <c r="H120" s="3103"/>
      <c r="I120" s="3104"/>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144" t="s">
        <v>1898</v>
      </c>
      <c r="B121" s="3145"/>
      <c r="C121" s="3146"/>
      <c r="D121" s="3107" t="str">
        <f>IF(D120=0,"零元整",NUMBERSTRING(INT(D120*10000),2)&amp;"元整")</f>
        <v>零元整</v>
      </c>
      <c r="E121" s="3109"/>
      <c r="F121" s="3109"/>
      <c r="G121" s="3109"/>
      <c r="H121" s="3109"/>
      <c r="I121" s="3108"/>
      <c r="AA121" s="693"/>
    </row>
    <row r="122" spans="1:27" ht="18.75" customHeight="1">
      <c r="A122" s="3113" t="str">
        <f>IF(项目基本情况!B9="房地产市场价值","",MID(E107,3,LEN(E107)-2))</f>
        <v/>
      </c>
      <c r="B122" s="3113"/>
      <c r="C122" s="3113"/>
      <c r="D122" s="3102" t="e">
        <f ca="1">H107</f>
        <v>#REF!</v>
      </c>
      <c r="E122" s="3103"/>
      <c r="F122" s="3103"/>
      <c r="G122" s="3103"/>
      <c r="H122" s="3103"/>
      <c r="I122" s="3104"/>
      <c r="AA122" s="693"/>
    </row>
    <row r="123" spans="1:27" ht="18.75" customHeight="1">
      <c r="A123" s="3101" t="s">
        <v>1898</v>
      </c>
      <c r="B123" s="3101"/>
      <c r="C123" s="3101"/>
      <c r="D123" s="3107" t="e">
        <f ca="1">NUMBERSTRING(INT(D122*10000),2)&amp;"元整"</f>
        <v>#REF!</v>
      </c>
      <c r="E123" s="3109"/>
      <c r="F123" s="3109"/>
      <c r="G123" s="3109"/>
      <c r="H123" s="3109"/>
      <c r="I123" s="3108"/>
      <c r="AA123" s="693"/>
    </row>
    <row r="124" spans="1:27" ht="18.75" customHeight="1">
      <c r="A124" s="3113" t="str">
        <f>IF(项目基本情况!B9="房地产市场价值","",MID(E109,3,LEN(E109)-2))</f>
        <v/>
      </c>
      <c r="B124" s="3113"/>
      <c r="C124" s="3113"/>
      <c r="D124" s="3102" t="str">
        <f>H109</f>
        <v>——</v>
      </c>
      <c r="E124" s="3103"/>
      <c r="F124" s="3103"/>
      <c r="G124" s="3103"/>
      <c r="H124" s="3103"/>
      <c r="I124" s="3104"/>
      <c r="AA124" s="693"/>
    </row>
    <row r="125" spans="1:27" ht="18.75" customHeight="1">
      <c r="A125" s="3101" t="s">
        <v>1898</v>
      </c>
      <c r="B125" s="3101"/>
      <c r="C125" s="3101"/>
      <c r="D125" s="3107" t="e">
        <f>NUMBERSTRING(INT(D124*10000),2)&amp;"元整"</f>
        <v>#VALUE!</v>
      </c>
      <c r="E125" s="3109"/>
      <c r="F125" s="3109"/>
      <c r="G125" s="3109"/>
      <c r="H125" s="3109"/>
      <c r="I125" s="3108"/>
      <c r="AA125" s="693"/>
    </row>
    <row r="126" spans="1:27" ht="18.75" customHeight="1">
      <c r="A126" s="3113" t="str">
        <f>IF(项目基本情况!B9="房地产市场价值","",MID(E111,3,LEN(E111)-2))</f>
        <v/>
      </c>
      <c r="B126" s="3113"/>
      <c r="C126" s="3113"/>
      <c r="D126" s="3102" t="str">
        <f>H111</f>
        <v>——</v>
      </c>
      <c r="E126" s="3103"/>
      <c r="F126" s="3103"/>
      <c r="G126" s="3103"/>
      <c r="H126" s="3103"/>
      <c r="I126" s="3104"/>
      <c r="AA126" s="693"/>
    </row>
    <row r="127" spans="1:27" ht="18.75" customHeight="1">
      <c r="A127" s="3101" t="s">
        <v>1898</v>
      </c>
      <c r="B127" s="3101"/>
      <c r="C127" s="3101"/>
      <c r="D127" s="3107" t="e">
        <f>NUMBERSTRING(INT(D126*10000),2)&amp;"元整"</f>
        <v>#VALUE!</v>
      </c>
      <c r="E127" s="3109"/>
      <c r="F127" s="3109"/>
      <c r="G127" s="3109"/>
      <c r="H127" s="3109"/>
      <c r="I127" s="3108"/>
      <c r="AA127" s="693"/>
    </row>
    <row r="128" spans="1:27" ht="21.75" customHeight="1">
      <c r="A128" s="3110" t="s">
        <v>1899</v>
      </c>
      <c r="B128" s="3110"/>
      <c r="C128" s="3110"/>
      <c r="D128" s="3110"/>
      <c r="E128" s="3110"/>
      <c r="F128" s="3110"/>
      <c r="G128" s="3110"/>
      <c r="H128" s="3110"/>
      <c r="I128" s="3110"/>
      <c r="AA128" s="693"/>
    </row>
    <row r="129" spans="1:35" ht="21.75" customHeight="1">
      <c r="A129" s="1821" t="s">
        <v>1900</v>
      </c>
      <c r="B129" s="1822"/>
      <c r="C129" s="1823" t="s">
        <v>1901</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1902</v>
      </c>
      <c r="G135" s="1836"/>
      <c r="H135" s="1836"/>
      <c r="I135" s="1837" t="s">
        <v>1903</v>
      </c>
    </row>
    <row r="136" spans="1:35" ht="21.75" customHeight="1">
      <c r="A136" s="693"/>
      <c r="B136" s="1838"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1905</v>
      </c>
    </row>
    <row r="139" spans="1:35" ht="21.75" customHeight="1">
      <c r="A139" s="693"/>
      <c r="B139" s="1838" t="s">
        <v>1906</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1905</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2993" t="str">
        <f>项目基本情况!B1</f>
        <v>北京市房地产市场价值预评估</v>
      </c>
      <c r="C37" s="2993"/>
      <c r="D37" s="2993"/>
      <c r="E37" s="2993"/>
      <c r="F37" s="2993"/>
      <c r="G37" s="2993"/>
      <c r="H37" s="2993"/>
      <c r="I37" s="2993"/>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67" customWidth="1"/>
    <col min="2" max="2" width="29.125" style="249" customWidth="1"/>
    <col min="3" max="3" width="12.125" style="249" customWidth="1"/>
    <col min="4" max="5" width="11.125" style="270" customWidth="1"/>
    <col min="6" max="6" width="9.5" style="249" customWidth="1"/>
    <col min="7" max="7" width="31.875" style="249" customWidth="1"/>
    <col min="8" max="254" width="9" style="249" customWidth="1"/>
    <col min="255" max="16384" width="8.375" style="249"/>
  </cols>
  <sheetData>
    <row r="1" spans="1:9" s="198" customFormat="1" ht="20.25">
      <c r="A1" s="194" t="s">
        <v>1907</v>
      </c>
      <c r="B1" s="1503"/>
      <c r="C1" s="196"/>
      <c r="D1" s="196"/>
      <c r="E1" s="196"/>
      <c r="F1" s="196"/>
      <c r="G1" s="1172">
        <f>MATCH(B1,'数据-取费表'!A6:A16,0)+5</f>
        <v>7</v>
      </c>
    </row>
    <row r="2" spans="1:9" s="198" customFormat="1" ht="18" customHeight="1">
      <c r="A2" s="199" t="s">
        <v>1908</v>
      </c>
      <c r="B2" s="200" t="e">
        <f ca="1">IF(D2="——",C52,C52-E2)</f>
        <v>#VALUE!</v>
      </c>
      <c r="C2" s="197" t="s">
        <v>1909</v>
      </c>
      <c r="D2" s="1841" t="s">
        <v>70</v>
      </c>
      <c r="E2" s="1199" t="e">
        <f ca="1">SUMIF(INDIRECT("'"&amp;G2&amp;"'"&amp;"!A:A"),"承租人权益价值",INDIRECT("'"&amp;G2&amp;"'"&amp;"!c:c"))</f>
        <v>#REF!</v>
      </c>
      <c r="F2" s="1842" t="s">
        <v>1909</v>
      </c>
      <c r="G2" s="1843"/>
    </row>
    <row r="3" spans="1:9" s="198" customFormat="1" ht="18" customHeight="1" thickBot="1">
      <c r="A3" s="201" t="s">
        <v>1910</v>
      </c>
      <c r="B3" s="202" t="e">
        <f ca="1">ROUND(B2*10000/(IF(B1="",'数据-汇总表'!E3,INDIRECT("'数据-取费表'!k"&amp;$G$1))),0)</f>
        <v>#VALUE!</v>
      </c>
      <c r="C3" s="197" t="s">
        <v>1911</v>
      </c>
      <c r="D3" s="197"/>
      <c r="E3" s="197"/>
      <c r="F3" s="197"/>
      <c r="G3" s="197"/>
    </row>
    <row r="4" spans="1:9" s="206" customFormat="1" ht="15.75">
      <c r="A4" s="203" t="s">
        <v>1912</v>
      </c>
      <c r="B4" s="204"/>
      <c r="C4" s="204"/>
      <c r="D4" s="204"/>
      <c r="E4" s="204"/>
      <c r="F4" s="204"/>
      <c r="G4" s="205"/>
    </row>
    <row r="5" spans="1:9" s="212" customFormat="1" ht="13.5" customHeight="1">
      <c r="A5" s="253" t="s">
        <v>1913</v>
      </c>
      <c r="B5" s="208" t="s">
        <v>1914</v>
      </c>
      <c r="C5" s="209">
        <f>C6+C7+C8</f>
        <v>0</v>
      </c>
      <c r="D5" s="209" t="s">
        <v>1915</v>
      </c>
      <c r="E5" s="210" t="s">
        <v>1916</v>
      </c>
      <c r="F5" s="210" t="s">
        <v>1917</v>
      </c>
      <c r="G5" s="211"/>
    </row>
    <row r="6" spans="1:9" s="212" customFormat="1" ht="13.5" customHeight="1">
      <c r="A6" s="816" t="s">
        <v>1918</v>
      </c>
      <c r="B6" s="213" t="s">
        <v>1919</v>
      </c>
      <c r="C6" s="214"/>
      <c r="D6" s="215"/>
      <c r="E6" s="216"/>
      <c r="F6" s="216"/>
      <c r="G6" s="217"/>
    </row>
    <row r="7" spans="1:9" s="212" customFormat="1" ht="13.5" customHeight="1">
      <c r="A7" s="816" t="s">
        <v>1920</v>
      </c>
      <c r="B7" s="213" t="s">
        <v>1921</v>
      </c>
      <c r="C7" s="218">
        <f>ROUND(C6*F7,0)</f>
        <v>0</v>
      </c>
      <c r="D7" s="218"/>
      <c r="E7" s="216"/>
      <c r="F7" s="219">
        <f>IF(项目基本情况!B8="出让",0,'数据-取费表'!B48+'数据-取费表'!B49)</f>
        <v>0</v>
      </c>
      <c r="G7" s="217"/>
    </row>
    <row r="8" spans="1:9" s="221" customFormat="1">
      <c r="A8" s="816" t="s">
        <v>1922</v>
      </c>
      <c r="B8" s="213" t="s">
        <v>1923</v>
      </c>
      <c r="C8" s="218">
        <f>IF(G8="已包含在土地购买价格中","0",IF(B1="",'数据-取费表'!B29,IF(G9="全部缴纳",C9+C10,H9)))</f>
        <v>0</v>
      </c>
      <c r="D8" s="220"/>
      <c r="E8" s="218"/>
      <c r="F8" s="219"/>
      <c r="G8" s="1844"/>
    </row>
    <row r="9" spans="1:9" s="212" customFormat="1" ht="13.5" customHeight="1">
      <c r="A9" s="817" t="s">
        <v>619</v>
      </c>
      <c r="B9" s="222" t="s">
        <v>1924</v>
      </c>
      <c r="C9" s="223">
        <f ca="1">ROUND(D9*E9/10000,0)</f>
        <v>0</v>
      </c>
      <c r="D9" s="880">
        <f ca="1">IF(B1="",'数据-汇总表'!E5,IF(INDIRECT("'数据-取费表'!c"&amp;$G$1)="住宅",INDIRECT("'数据-取费表'!k"&amp;$G$1),0))</f>
        <v>0</v>
      </c>
      <c r="E9" s="223">
        <f>'数据-取费表'!B27</f>
        <v>0</v>
      </c>
      <c r="F9" s="219"/>
      <c r="G9" s="1845"/>
      <c r="H9" s="1180"/>
      <c r="I9" s="1846"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11320.8</v>
      </c>
      <c r="E10" s="223">
        <f>'数据-取费表'!B28</f>
        <v>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f ca="1">IF(G19="已包含在土地取得成本中","0",ROUND(D19*E19/10000,0))</f>
        <v>0</v>
      </c>
      <c r="D19" s="210">
        <f ca="1">D9+D10</f>
        <v>11320.8</v>
      </c>
      <c r="E19" s="209">
        <f>'数据-取费表'!B31</f>
        <v>0</v>
      </c>
      <c r="F19" s="229"/>
      <c r="G19" s="1844"/>
    </row>
    <row r="20" spans="1:7" s="212" customFormat="1" ht="13.5" customHeight="1">
      <c r="A20" s="253" t="s">
        <v>1939</v>
      </c>
      <c r="B20" s="208" t="s">
        <v>1940</v>
      </c>
      <c r="C20" s="230">
        <f ca="1">ROUND((C5+C19)*F20,0)</f>
        <v>0</v>
      </c>
      <c r="D20" s="230"/>
      <c r="E20" s="230"/>
      <c r="F20" s="231">
        <f>'数据-取费表'!B37</f>
        <v>0</v>
      </c>
      <c r="G20" s="232" t="s">
        <v>1941</v>
      </c>
    </row>
    <row r="21" spans="1:7" s="212" customFormat="1" ht="13.5" customHeight="1">
      <c r="A21" s="253" t="s">
        <v>1942</v>
      </c>
      <c r="B21" s="208" t="s">
        <v>1943</v>
      </c>
      <c r="C21" s="233">
        <f>F21</f>
        <v>0</v>
      </c>
      <c r="D21" s="234" t="s">
        <v>1944</v>
      </c>
      <c r="E21" s="230"/>
      <c r="F21" s="231">
        <f>'数据-取费表'!B38</f>
        <v>0</v>
      </c>
      <c r="G21" s="232" t="s">
        <v>1945</v>
      </c>
    </row>
    <row r="22" spans="1:7" s="212" customFormat="1" ht="13.5" customHeight="1">
      <c r="A22" s="253" t="s">
        <v>1946</v>
      </c>
      <c r="B22" s="208" t="s">
        <v>1947</v>
      </c>
      <c r="C22" s="1149" t="e">
        <f ca="1">ROUND(SUM(C23:C25),0)</f>
        <v>#VALUE!</v>
      </c>
      <c r="D22" s="233" t="e">
        <f ca="1">C26</f>
        <v>#VALUE!</v>
      </c>
      <c r="E22" s="234" t="s">
        <v>1944</v>
      </c>
      <c r="F22" s="235" t="e">
        <f ca="1">'数据-取费表'!B40</f>
        <v>#VALUE!</v>
      </c>
      <c r="G22" s="232" t="str">
        <f>IF('数据-取费表'!B22&lt;=1,"单利计息","复利计息")</f>
        <v>单利计息</v>
      </c>
    </row>
    <row r="23" spans="1:7" s="212" customFormat="1" ht="13.5" customHeight="1">
      <c r="A23" s="818" t="s">
        <v>1948</v>
      </c>
      <c r="B23" s="213" t="s">
        <v>1949</v>
      </c>
      <c r="C23" s="1150" t="e">
        <f ca="1">ROUND(IF('数据-取费表'!B22&lt;=1,C5*F22*'数据-取费表'!B23,C5*(POWER((1+F22),'数据-取费表'!B23)-1)),0)</f>
        <v>#VALUE!</v>
      </c>
      <c r="D23" s="236"/>
      <c r="E23" s="236"/>
      <c r="F23" s="237"/>
      <c r="G23" s="238" t="s">
        <v>1950</v>
      </c>
    </row>
    <row r="24" spans="1:7" s="212" customFormat="1" ht="13.5" customHeight="1">
      <c r="A24" s="818" t="s">
        <v>1951</v>
      </c>
      <c r="B24" s="213" t="s">
        <v>1952</v>
      </c>
      <c r="C24" s="1150" t="e">
        <f ca="1">ROUND(IF('数据-取费表'!B22&lt;=1,C19*F22*('数据-取费表'!B19/2+'数据-取费表'!B21),C19*(POWER((1+F22),('数据-取费表'!B19/2+'数据-取费表'!B21))-1)),0)</f>
        <v>#VALUE!</v>
      </c>
      <c r="D24" s="236"/>
      <c r="E24" s="236"/>
      <c r="F24" s="237"/>
      <c r="G24" s="238" t="s">
        <v>1953</v>
      </c>
    </row>
    <row r="25" spans="1:7" s="212" customFormat="1" ht="24">
      <c r="A25" s="818" t="s">
        <v>1954</v>
      </c>
      <c r="B25" s="213" t="s">
        <v>1955</v>
      </c>
      <c r="C25" s="1150" t="e">
        <f ca="1">ROUND(IF('数据-取费表'!B22&lt;=1,C20*F22*'数据-取费表'!B23/2,C20*(POWER((1+F22),'数据-取费表'!B23/2)-1)),0)</f>
        <v>#VALUE!</v>
      </c>
      <c r="D25" s="236"/>
      <c r="E25" s="239"/>
      <c r="F25" s="237"/>
      <c r="G25" s="240" t="s">
        <v>1956</v>
      </c>
    </row>
    <row r="26" spans="1:7" s="212" customFormat="1">
      <c r="A26" s="818" t="s">
        <v>614</v>
      </c>
      <c r="B26" s="213" t="s">
        <v>1957</v>
      </c>
      <c r="C26" s="236" t="e">
        <f ca="1">ROUND(IF('数据-取费表'!B22&lt;=1,F21*F22*'数据-取费表'!B23/2,F21*(POWER((1+F22),'数据-取费表'!B23/2)-1)),4)</f>
        <v>#VALUE!</v>
      </c>
      <c r="D26" s="236"/>
      <c r="E26" s="239"/>
      <c r="F26" s="237"/>
      <c r="G26" s="241"/>
    </row>
    <row r="27" spans="1:7" s="212" customFormat="1" ht="24.75">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ROUND((C5+C19+C20)*F27*'数据-取费表'!B21/'数据-取费表'!B20,0)</f>
        <v>#DIV/0!</v>
      </c>
      <c r="D28" s="233"/>
      <c r="E28" s="234"/>
      <c r="F28" s="244"/>
      <c r="G28" s="245"/>
    </row>
    <row r="29" spans="1:7" s="212" customFormat="1" ht="13.5" customHeight="1">
      <c r="A29" s="818" t="s">
        <v>611</v>
      </c>
      <c r="B29" s="246" t="s">
        <v>1963</v>
      </c>
      <c r="C29" s="236" t="e">
        <f ca="1">ROUND(C21*F27*'数据-取费表'!B21/'数据-取费表'!B20,4)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5.75">
      <c r="A32" s="250" t="s">
        <v>1969</v>
      </c>
      <c r="B32" s="251"/>
      <c r="C32" s="251"/>
      <c r="D32" s="251"/>
      <c r="E32" s="251"/>
      <c r="F32" s="251"/>
      <c r="G32" s="252"/>
    </row>
    <row r="33" spans="1:7" s="212" customFormat="1" ht="13.5" customHeight="1">
      <c r="A33" s="253" t="s">
        <v>601</v>
      </c>
      <c r="B33" s="208" t="s">
        <v>1970</v>
      </c>
      <c r="C33" s="254">
        <f ca="1">SUM(C34:C38)</f>
        <v>0</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0</v>
      </c>
      <c r="D34" s="215"/>
      <c r="E34" s="218"/>
      <c r="F34" s="255">
        <f ca="1">IF('数据-取费表'!B24=0,1,IF(B1="",'数据-取费表'!N16,INDIRECT("'数据-取费表'!n"&amp;$G$1)))</f>
        <v>1</v>
      </c>
      <c r="G34" s="217" t="s">
        <v>1972</v>
      </c>
    </row>
    <row r="35" spans="1:7" ht="13.5" customHeight="1">
      <c r="A35" s="818" t="s">
        <v>615</v>
      </c>
      <c r="B35" s="213" t="s">
        <v>1973</v>
      </c>
      <c r="C35" s="218">
        <f ca="1">ROUND(C34*F35,0)</f>
        <v>0</v>
      </c>
      <c r="D35" s="218"/>
      <c r="E35" s="218"/>
      <c r="F35" s="257">
        <f>'数据-取费表'!B33</f>
        <v>0</v>
      </c>
      <c r="G35" s="217" t="s">
        <v>1974</v>
      </c>
    </row>
    <row r="36" spans="1:7" ht="24">
      <c r="A36" s="818" t="s">
        <v>616</v>
      </c>
      <c r="B36" s="213" t="s">
        <v>1975</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1976</v>
      </c>
    </row>
    <row r="37" spans="1:7" s="256" customFormat="1" ht="13.5" customHeight="1">
      <c r="A37" s="818" t="s">
        <v>617</v>
      </c>
      <c r="B37" s="213" t="s">
        <v>1977</v>
      </c>
      <c r="C37" s="247">
        <f ca="1">ROUND(E37*D37*F34/10000,0)</f>
        <v>0</v>
      </c>
      <c r="D37" s="215">
        <f ca="1">D19</f>
        <v>11320.8</v>
      </c>
      <c r="E37" s="247">
        <f>'数据-取费表'!B35</f>
        <v>0</v>
      </c>
      <c r="F37" s="257"/>
      <c r="G37" s="259" t="s">
        <v>1978</v>
      </c>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ROUND(IF('数据-取费表'!B22&lt;=1,C33*F22*'数据-取费表'!B21/2,C33*(POWER((1+F22),'数据-取费表'!B21/2)-1)),0)</f>
        <v>#VALUE!</v>
      </c>
      <c r="D42" s="236"/>
      <c r="E42" s="236"/>
      <c r="F42" s="237"/>
      <c r="G42" s="3183" t="s">
        <v>1990</v>
      </c>
    </row>
    <row r="43" spans="1:7" ht="13.5" customHeight="1">
      <c r="A43" s="818" t="s">
        <v>611</v>
      </c>
      <c r="B43" s="213" t="s">
        <v>1991</v>
      </c>
      <c r="C43" s="236" t="e">
        <f ca="1">ROUND(IF('数据-取费表'!B22&lt;=1,C39*F22*'数据-取费表'!B21/2,C39*(POWER((1+F22),'数据-取费表'!B21/2)-1)),0)</f>
        <v>#VALUE!</v>
      </c>
      <c r="D43" s="236"/>
      <c r="E43" s="236"/>
      <c r="F43" s="237"/>
      <c r="G43" s="3184"/>
    </row>
    <row r="44" spans="1:7" ht="13.5" customHeight="1">
      <c r="A44" s="818" t="s">
        <v>612</v>
      </c>
      <c r="B44" s="213" t="s">
        <v>1992</v>
      </c>
      <c r="C44" s="236" t="e">
        <f ca="1">ROUND(IF('数据-取费表'!B22&lt;=1,C40*F22*'数据-取费表'!B21/2,C40*(POWER((1+F22),'数据-取费表'!B21/2)-1)),4)</f>
        <v>#VALUE!</v>
      </c>
      <c r="D44" s="236"/>
      <c r="E44" s="236"/>
      <c r="F44" s="237"/>
      <c r="G44" s="3185"/>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33">
        <f>ROUND(F30/(1+'数据-取费表'!C42),4)</f>
        <v>0</v>
      </c>
      <c r="D48" s="234" t="s">
        <v>1985</v>
      </c>
      <c r="E48" s="230"/>
      <c r="F48" s="2299">
        <f>F30</f>
        <v>0</v>
      </c>
      <c r="G48" s="232" t="s">
        <v>1998</v>
      </c>
    </row>
    <row r="49" spans="1:7" ht="16.5" customHeight="1">
      <c r="A49" s="253" t="s">
        <v>1964</v>
      </c>
      <c r="B49" s="208" t="s">
        <v>1999</v>
      </c>
      <c r="C49" s="230" t="e">
        <f ca="1">ROUND((C33+C39+C41+C45)/(1-C40-D41-D45-C48),0)</f>
        <v>#VALUE!</v>
      </c>
      <c r="D49" s="230"/>
      <c r="E49" s="230"/>
      <c r="F49" s="262"/>
      <c r="G49" s="232" t="s">
        <v>2000</v>
      </c>
    </row>
    <row r="50" spans="1:7" s="256" customFormat="1" ht="24">
      <c r="A50" s="253" t="s">
        <v>2001</v>
      </c>
      <c r="B50" s="208" t="s">
        <v>2002</v>
      </c>
      <c r="C50" s="230"/>
      <c r="D50" s="230"/>
      <c r="E50" s="230"/>
      <c r="F50" s="262" t="e">
        <f>IF('数据-取费表'!B24=0,'数据-取费表'!N16,1)</f>
        <v>#DIV/0!</v>
      </c>
      <c r="G50" s="245" t="s">
        <v>2003</v>
      </c>
    </row>
    <row r="51" spans="1:7" ht="16.5" customHeight="1">
      <c r="A51" s="253" t="s">
        <v>2004</v>
      </c>
      <c r="B51" s="208" t="s">
        <v>2005</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
      <c r="B55" s="268" t="s">
        <v>2008</v>
      </c>
      <c r="C55" s="269"/>
    </row>
    <row r="56" spans="1:7">
      <c r="B56" s="271" t="s">
        <v>1237</v>
      </c>
      <c r="C56" s="273" t="e">
        <f ca="1">1-C57</f>
        <v>#VALUE!</v>
      </c>
    </row>
    <row r="57" spans="1:7">
      <c r="B57" s="271" t="s">
        <v>1238</v>
      </c>
      <c r="C57" s="272"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67" customWidth="1"/>
    <col min="2" max="2" width="29.125" style="249" customWidth="1"/>
    <col min="3" max="3" width="12.125" style="249" customWidth="1"/>
    <col min="4" max="5" width="11.125" style="270" customWidth="1"/>
    <col min="6" max="6" width="9.5" style="249" customWidth="1"/>
    <col min="7" max="7" width="31.875" style="249" customWidth="1"/>
    <col min="8" max="8" width="10.875" style="249" customWidth="1"/>
    <col min="9" max="254" width="9" style="249" customWidth="1"/>
    <col min="255" max="16384" width="8.375" style="249"/>
  </cols>
  <sheetData>
    <row r="1" spans="1:8" s="198" customFormat="1" ht="20.25">
      <c r="A1" s="194" t="s">
        <v>1907</v>
      </c>
      <c r="B1" s="1503"/>
      <c r="C1" s="1847" t="s">
        <v>2009</v>
      </c>
      <c r="D1" s="196"/>
      <c r="E1" s="196"/>
      <c r="F1" s="196"/>
      <c r="G1" s="1172">
        <f>MATCH(B1,'数据-取费表'!A6:A16,0)+5</f>
        <v>7</v>
      </c>
      <c r="H1" s="1105" t="str">
        <f>IF(ISERROR(FIND("住宅",B1)),"非住宅","住宅")</f>
        <v>非住宅</v>
      </c>
    </row>
    <row r="2" spans="1:8" s="198" customFormat="1" ht="18" customHeight="1">
      <c r="A2" s="199" t="s">
        <v>1908</v>
      </c>
      <c r="B2" s="200" t="e">
        <f ca="1">ROUND(IF(D2="——",C52/10000,C52/10000-E2),0)</f>
        <v>#VALUE!</v>
      </c>
      <c r="C2" s="197" t="s">
        <v>1909</v>
      </c>
      <c r="D2" s="1841" t="s">
        <v>70</v>
      </c>
      <c r="E2" s="1199" t="e">
        <f ca="1">SUMIF(INDIRECT("'"&amp;G2&amp;"'"&amp;"!A:A"),"承租人权益价值",INDIRECT("'"&amp;G2&amp;"'"&amp;"!c:c"))</f>
        <v>#REF!</v>
      </c>
      <c r="F2" s="1842" t="s">
        <v>1909</v>
      </c>
      <c r="G2" s="1843"/>
    </row>
    <row r="3" spans="1:8" s="198" customFormat="1" ht="18" customHeight="1" thickBot="1">
      <c r="A3" s="201" t="s">
        <v>1910</v>
      </c>
      <c r="B3" s="202" t="e">
        <f ca="1">ROUND(B2*10000/(IF(B1="",'数据-汇总表'!E3,INDIRECT("'数据-取费表'!k"&amp;$G$1))),0)</f>
        <v>#VALUE!</v>
      </c>
      <c r="C3" s="197" t="s">
        <v>1911</v>
      </c>
      <c r="D3" s="197"/>
      <c r="E3" s="197"/>
      <c r="F3" s="197"/>
      <c r="G3" s="197"/>
    </row>
    <row r="4" spans="1:8" s="206" customFormat="1" ht="15.75">
      <c r="A4" s="203" t="s">
        <v>1912</v>
      </c>
      <c r="B4" s="204"/>
      <c r="C4" s="204"/>
      <c r="D4" s="204"/>
      <c r="E4" s="204"/>
      <c r="F4" s="204"/>
      <c r="G4" s="205"/>
    </row>
    <row r="5" spans="1:8" s="212" customFormat="1" ht="13.5" customHeight="1">
      <c r="A5" s="253" t="s">
        <v>1913</v>
      </c>
      <c r="B5" s="208" t="s">
        <v>1914</v>
      </c>
      <c r="C5" s="209">
        <f ca="1">C6+C7+C8</f>
        <v>0</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0</v>
      </c>
      <c r="G7" s="217"/>
    </row>
    <row r="8" spans="1:8" s="221" customFormat="1">
      <c r="A8" s="816" t="s">
        <v>1922</v>
      </c>
      <c r="B8" s="213" t="s">
        <v>1923</v>
      </c>
      <c r="C8" s="218">
        <f ca="1">IF(G8="已包含在土地购买价格中",0,C9+C10)</f>
        <v>0</v>
      </c>
      <c r="D8" s="220"/>
      <c r="E8" s="218"/>
      <c r="F8" s="219"/>
      <c r="G8" s="1844"/>
    </row>
    <row r="9" spans="1:8" s="212" customFormat="1" ht="13.5" customHeight="1">
      <c r="A9" s="817" t="s">
        <v>619</v>
      </c>
      <c r="B9" s="222" t="s">
        <v>1924</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11320.8</v>
      </c>
      <c r="E10" s="223">
        <f>'数据-取费表'!B28</f>
        <v>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0</v>
      </c>
      <c r="D19" s="210">
        <f ca="1">D9+D10</f>
        <v>11320.8</v>
      </c>
      <c r="E19" s="209">
        <f>'数据-取费表'!B31</f>
        <v>0</v>
      </c>
      <c r="F19" s="229"/>
      <c r="G19" s="1844"/>
    </row>
    <row r="20" spans="1:7" s="212" customFormat="1" ht="13.5" customHeight="1">
      <c r="A20" s="253" t="s">
        <v>2020</v>
      </c>
      <c r="B20" s="208" t="s">
        <v>2021</v>
      </c>
      <c r="C20" s="230">
        <f ca="1">ROUND((C5+C19)*F20,0)</f>
        <v>0</v>
      </c>
      <c r="D20" s="230"/>
      <c r="E20" s="230"/>
      <c r="F20" s="231">
        <f>'数据-取费表'!B37</f>
        <v>0</v>
      </c>
      <c r="G20" s="232" t="s">
        <v>2022</v>
      </c>
    </row>
    <row r="21" spans="1:7" s="212" customFormat="1" ht="13.5" customHeight="1">
      <c r="A21" s="253" t="s">
        <v>2023</v>
      </c>
      <c r="B21" s="208" t="s">
        <v>2024</v>
      </c>
      <c r="C21" s="233">
        <f>F21</f>
        <v>0</v>
      </c>
      <c r="D21" s="234" t="s">
        <v>2025</v>
      </c>
      <c r="E21" s="230"/>
      <c r="F21" s="231">
        <f>'数据-取费表'!B38</f>
        <v>0</v>
      </c>
      <c r="G21" s="232" t="s">
        <v>2026</v>
      </c>
    </row>
    <row r="22" spans="1:7" s="212" customFormat="1" ht="13.5" customHeight="1">
      <c r="A22" s="253" t="s">
        <v>2027</v>
      </c>
      <c r="B22" s="208" t="s">
        <v>2028</v>
      </c>
      <c r="C22" s="230" t="e">
        <f ca="1">ROUND(SUM(C23:C25),0)</f>
        <v>#VALUE!</v>
      </c>
      <c r="D22" s="233" t="e">
        <f ca="1">C26</f>
        <v>#VALUE!</v>
      </c>
      <c r="E22" s="234" t="s">
        <v>2025</v>
      </c>
      <c r="F22" s="235" t="e">
        <f ca="1">'数据-取费表'!B40</f>
        <v>#VALUE!</v>
      </c>
      <c r="G22" s="232" t="str">
        <f>IF('数据-取费表'!B22&lt;=1,"单利计息","复利计息")</f>
        <v>单利计息</v>
      </c>
    </row>
    <row r="23" spans="1:7" s="212" customFormat="1" ht="13.5" customHeight="1">
      <c r="A23" s="818" t="s">
        <v>1918</v>
      </c>
      <c r="B23" s="213" t="s">
        <v>2029</v>
      </c>
      <c r="C23" s="236" t="e">
        <f ca="1">ROUND(IF('数据-取费表'!B22&lt;=1,C5*F22*'数据-取费表'!B22,C5*(POWER((1+F22),'数据-取费表'!B22)-1)),0)</f>
        <v>#VALUE!</v>
      </c>
      <c r="D23" s="236"/>
      <c r="E23" s="236"/>
      <c r="F23" s="237"/>
      <c r="G23" s="238" t="s">
        <v>2030</v>
      </c>
    </row>
    <row r="24" spans="1:7" s="212" customFormat="1" ht="13.5" customHeight="1">
      <c r="A24" s="818" t="s">
        <v>1920</v>
      </c>
      <c r="B24" s="213" t="s">
        <v>2031</v>
      </c>
      <c r="C24" s="236" t="e">
        <f ca="1">ROUND(IF('数据-取费表'!B22&lt;=1,C19*F22*('数据-取费表'!B19/2+'数据-取费表'!B20),C19*(POWER((1+F22),('数据-取费表'!B19/2+'数据-取费表'!B20))-1)),0)</f>
        <v>#VALUE!</v>
      </c>
      <c r="D24" s="236"/>
      <c r="E24" s="236"/>
      <c r="F24" s="237"/>
      <c r="G24" s="238" t="s">
        <v>2032</v>
      </c>
    </row>
    <row r="25" spans="1:7" s="212" customFormat="1" ht="24">
      <c r="A25" s="818" t="s">
        <v>1922</v>
      </c>
      <c r="B25" s="213" t="s">
        <v>2033</v>
      </c>
      <c r="C25" s="236" t="e">
        <f ca="1">ROUND(IF('数据-取费表'!B22&lt;=1,C20*F22*'数据-取费表'!B22/2,C20*(POWER((1+F22),'数据-取费表'!B22/2)-1)),0)</f>
        <v>#VALUE!</v>
      </c>
      <c r="D25" s="236"/>
      <c r="E25" s="239"/>
      <c r="F25" s="237"/>
      <c r="G25" s="240" t="s">
        <v>2034</v>
      </c>
    </row>
    <row r="26" spans="1:7" s="212" customFormat="1">
      <c r="A26" s="818" t="s">
        <v>614</v>
      </c>
      <c r="B26" s="213" t="s">
        <v>1957</v>
      </c>
      <c r="C26" s="236" t="e">
        <f ca="1">ROUND(IF('数据-取费表'!B22&lt;=1,F21*F22*'数据-取费表'!B22/2,F21*(POWER((1+F22),'数据-取费表'!B22/2)-1)),4)</f>
        <v>#VALUE!</v>
      </c>
      <c r="D26" s="236"/>
      <c r="E26" s="239"/>
      <c r="F26" s="237"/>
      <c r="G26" s="241"/>
    </row>
    <row r="27" spans="1:7" s="212" customFormat="1" ht="24.75">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ROUND((C5+C19+C20)*F27,0)</f>
        <v>#DIV/0!</v>
      </c>
      <c r="D28" s="233"/>
      <c r="E28" s="234"/>
      <c r="F28" s="244"/>
      <c r="G28" s="245"/>
    </row>
    <row r="29" spans="1:7" s="212" customFormat="1" ht="13.5" customHeight="1">
      <c r="A29" s="818" t="s">
        <v>611</v>
      </c>
      <c r="B29" s="246" t="s">
        <v>1963</v>
      </c>
      <c r="C29" s="236" t="e">
        <f ca="1">ROUND(C21*F27,4)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5.75">
      <c r="A32" s="250" t="s">
        <v>2035</v>
      </c>
      <c r="B32" s="251"/>
      <c r="C32" s="251"/>
      <c r="D32" s="251"/>
      <c r="E32" s="251"/>
      <c r="F32" s="251"/>
      <c r="G32" s="252"/>
    </row>
    <row r="33" spans="1:7" s="212" customFormat="1" ht="13.5" customHeight="1">
      <c r="A33" s="253" t="s">
        <v>601</v>
      </c>
      <c r="B33" s="208" t="s">
        <v>2036</v>
      </c>
      <c r="C33" s="254">
        <f ca="1">SUM(C34:C38)</f>
        <v>0</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0</v>
      </c>
      <c r="D34" s="215"/>
      <c r="E34" s="218"/>
      <c r="F34" s="255"/>
      <c r="G34" s="217"/>
    </row>
    <row r="35" spans="1:7" ht="13.5" customHeight="1">
      <c r="A35" s="818" t="s">
        <v>615</v>
      </c>
      <c r="B35" s="213" t="s">
        <v>1973</v>
      </c>
      <c r="C35" s="218">
        <f ca="1">ROUND(C34*F35,0)</f>
        <v>0</v>
      </c>
      <c r="D35" s="218"/>
      <c r="E35" s="218"/>
      <c r="F35" s="257">
        <f>'数据-取费表'!B33</f>
        <v>0</v>
      </c>
      <c r="G35" s="217" t="s">
        <v>1974</v>
      </c>
    </row>
    <row r="36" spans="1:7" ht="24">
      <c r="A36" s="818" t="s">
        <v>616</v>
      </c>
      <c r="B36" s="213" t="s">
        <v>1975</v>
      </c>
      <c r="C36" s="218">
        <f ca="1">ROUND(IF(B1="",SUM('数据-取费表'!AP6:AP13)*F36,IF(INDIRECT("'数据-取费表'!c"&amp;$G$1)="住宅",INDIRECT("'数据-取费表'!k"&amp;$G$1)*INDIRECT("'数据-取费表'!l"&amp;$G$1)*F36,0)),0)</f>
        <v>0</v>
      </c>
      <c r="D36" s="218"/>
      <c r="E36" s="218"/>
      <c r="F36" s="257">
        <f>'数据-取费表'!B34</f>
        <v>0</v>
      </c>
      <c r="G36" s="258" t="s">
        <v>1976</v>
      </c>
    </row>
    <row r="37" spans="1:7" s="256" customFormat="1" ht="13.5" customHeight="1">
      <c r="A37" s="818" t="s">
        <v>617</v>
      </c>
      <c r="B37" s="213" t="s">
        <v>1977</v>
      </c>
      <c r="C37" s="247">
        <f ca="1">ROUND(E37*D37,0)</f>
        <v>0</v>
      </c>
      <c r="D37" s="215">
        <f ca="1">D19</f>
        <v>11320.8</v>
      </c>
      <c r="E37" s="247">
        <f>'数据-取费表'!B35</f>
        <v>0</v>
      </c>
      <c r="F37" s="257"/>
      <c r="G37" s="259"/>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ROUND(IF('数据-取费表'!B22&lt;=1,C33*F22*'数据-取费表'!B20/2,C33*(POWER((1+F22),'数据-取费表'!B20/2)-1)),0)</f>
        <v>#VALUE!</v>
      </c>
      <c r="D42" s="236"/>
      <c r="E42" s="236"/>
      <c r="F42" s="237"/>
      <c r="G42" s="3183" t="s">
        <v>2037</v>
      </c>
    </row>
    <row r="43" spans="1:7" ht="13.5" customHeight="1">
      <c r="A43" s="818" t="s">
        <v>611</v>
      </c>
      <c r="B43" s="213" t="s">
        <v>1991</v>
      </c>
      <c r="C43" s="236" t="e">
        <f ca="1">ROUND(IF('数据-取费表'!B22&lt;=1,C39*F22*'数据-取费表'!B20/2,C39*(POWER((1+F22),'数据-取费表'!B20/2)-1)),0)</f>
        <v>#VALUE!</v>
      </c>
      <c r="D43" s="236"/>
      <c r="E43" s="236"/>
      <c r="F43" s="237"/>
      <c r="G43" s="3184"/>
    </row>
    <row r="44" spans="1:7" ht="13.5" customHeight="1">
      <c r="A44" s="818" t="s">
        <v>612</v>
      </c>
      <c r="B44" s="213" t="s">
        <v>1992</v>
      </c>
      <c r="C44" s="236" t="e">
        <f ca="1">ROUND(IF('数据-取费表'!B22&lt;=1,C40*F22*'数据-取费表'!B20/2,C40*(POWER((1+F22),'数据-取费表'!B20/2)-1)),4)</f>
        <v>#VALUE!</v>
      </c>
      <c r="D44" s="236"/>
      <c r="E44" s="236"/>
      <c r="F44" s="237"/>
      <c r="G44" s="3185"/>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60">
        <f>ROUND(F30/(1+'数据-取费表'!C42),4)</f>
        <v>0</v>
      </c>
      <c r="D48" s="234" t="s">
        <v>1985</v>
      </c>
      <c r="E48" s="230"/>
      <c r="F48" s="2299">
        <f>F30</f>
        <v>0</v>
      </c>
      <c r="G48" s="232" t="s">
        <v>1998</v>
      </c>
    </row>
    <row r="49" spans="1:7" ht="16.5" customHeight="1">
      <c r="A49" s="253" t="s">
        <v>1964</v>
      </c>
      <c r="B49" s="208" t="s">
        <v>2038</v>
      </c>
      <c r="C49" s="230" t="e">
        <f ca="1">ROUND((C33+C39+C41+C45)/(1-C40-D41-D45-C48),0)</f>
        <v>#VALUE!</v>
      </c>
      <c r="D49" s="230"/>
      <c r="E49" s="230"/>
      <c r="F49" s="262"/>
      <c r="G49" s="232" t="s">
        <v>2000</v>
      </c>
    </row>
    <row r="50" spans="1:7" s="256" customFormat="1">
      <c r="A50" s="253" t="s">
        <v>2001</v>
      </c>
      <c r="B50" s="208" t="s">
        <v>2002</v>
      </c>
      <c r="C50" s="230"/>
      <c r="D50" s="230"/>
      <c r="E50" s="230"/>
      <c r="F50" s="262" t="e">
        <f>IF('数据-取费表'!B24=0,'数据-取费表'!N16,1)</f>
        <v>#DIV/0!</v>
      </c>
      <c r="G50" s="245"/>
    </row>
    <row r="51" spans="1:7" ht="16.5" customHeight="1">
      <c r="A51" s="253" t="s">
        <v>2004</v>
      </c>
      <c r="B51" s="208" t="s">
        <v>2039</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
      <c r="B55" s="268" t="s">
        <v>2008</v>
      </c>
      <c r="C55" s="269"/>
    </row>
    <row r="56" spans="1:7">
      <c r="B56" s="271" t="s">
        <v>1237</v>
      </c>
      <c r="C56" s="273" t="e">
        <f ca="1">1-C57</f>
        <v>#VALUE!</v>
      </c>
    </row>
    <row r="57" spans="1:7">
      <c r="B57" s="271" t="s">
        <v>1238</v>
      </c>
      <c r="C57" s="272"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875" style="696" customWidth="1"/>
    <col min="2" max="2" width="25.875" style="819" customWidth="1"/>
    <col min="3" max="3" width="10.375" style="859" customWidth="1"/>
    <col min="4" max="4" width="9.875" style="819" customWidth="1"/>
    <col min="5" max="5" width="9.5" style="696" customWidth="1"/>
    <col min="6" max="6" width="10.125" style="819" customWidth="1"/>
    <col min="7" max="7" width="10.8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2040</v>
      </c>
      <c r="B1" s="126"/>
      <c r="C1" s="1220"/>
      <c r="D1" s="1219"/>
      <c r="E1" s="2736"/>
      <c r="F1" s="2736"/>
      <c r="G1" s="2615"/>
      <c r="H1" s="2736"/>
      <c r="I1" s="2736"/>
      <c r="J1" s="2736"/>
      <c r="K1" s="2737">
        <f>MATCH(C1,'数据-取费表'!A6:A16,0)+5</f>
        <v>7</v>
      </c>
    </row>
    <row r="2" spans="1:33" ht="18" customHeight="1">
      <c r="A2" s="199" t="s">
        <v>1908</v>
      </c>
      <c r="B2" s="202" t="e">
        <f ca="1">C32</f>
        <v>#VALUE!</v>
      </c>
      <c r="C2" s="274" t="s">
        <v>2041</v>
      </c>
      <c r="D2" s="274"/>
      <c r="E2" s="2736"/>
      <c r="F2" s="2736"/>
      <c r="G2" s="2736"/>
      <c r="H2" s="2736"/>
      <c r="I2" s="2736"/>
      <c r="J2" s="2736"/>
      <c r="K2" s="2736"/>
    </row>
    <row r="3" spans="1:33" ht="18" customHeight="1" thickBot="1">
      <c r="A3" s="201" t="s">
        <v>1910</v>
      </c>
      <c r="B3" s="202" t="e">
        <f ca="1">ROUND(B2*10000/IF(C1="",'数据-汇总表'!E3,INDIRECT("'数据-取费表'!K"&amp;$K$1)),0)</f>
        <v>#VALUE!</v>
      </c>
      <c r="C3" s="274" t="s">
        <v>2042</v>
      </c>
      <c r="D3" s="274"/>
      <c r="E3" s="2736"/>
      <c r="F3" s="2736"/>
      <c r="G3" s="2736"/>
      <c r="H3" s="2736"/>
      <c r="I3" s="2736"/>
      <c r="J3" s="2736"/>
      <c r="K3" s="2736"/>
    </row>
    <row r="4" spans="1:33" s="823" customFormat="1" ht="16.5" customHeight="1">
      <c r="A4" s="820" t="s">
        <v>2043</v>
      </c>
      <c r="B4" s="821"/>
      <c r="C4" s="860">
        <f>SUM(C8:K8)</f>
        <v>0</v>
      </c>
      <c r="D4" s="821"/>
      <c r="E4" s="821"/>
      <c r="F4" s="821"/>
      <c r="G4" s="821"/>
      <c r="H4" s="821"/>
      <c r="I4" s="821"/>
      <c r="J4" s="821"/>
      <c r="K4" s="822"/>
    </row>
    <row r="5" spans="1:33" s="827" customFormat="1" ht="24.75">
      <c r="A5" s="824" t="s">
        <v>2044</v>
      </c>
      <c r="B5" s="825" t="s">
        <v>2045</v>
      </c>
      <c r="C5" s="1848" t="s">
        <v>2046</v>
      </c>
      <c r="D5" s="1848" t="s">
        <v>2047</v>
      </c>
      <c r="E5" s="1848" t="s">
        <v>2048</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2049</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2050</v>
      </c>
      <c r="B7" s="128" t="s">
        <v>2051</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2052</v>
      </c>
      <c r="B8" s="161" t="s">
        <v>2053</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2054</v>
      </c>
      <c r="B9" s="821"/>
      <c r="C9" s="821"/>
      <c r="D9" s="821"/>
      <c r="E9" s="821"/>
      <c r="F9" s="821"/>
      <c r="G9" s="821"/>
      <c r="H9" s="821"/>
      <c r="I9" s="821"/>
      <c r="J9" s="821"/>
      <c r="K9" s="822"/>
    </row>
    <row r="10" spans="1:33" s="835" customFormat="1" ht="13.5" customHeight="1">
      <c r="A10" s="824" t="s">
        <v>2055</v>
      </c>
      <c r="B10" s="8" t="s">
        <v>2056</v>
      </c>
      <c r="C10" s="831" t="s">
        <v>2057</v>
      </c>
      <c r="D10" s="832" t="s">
        <v>2058</v>
      </c>
      <c r="E10" s="832" t="s">
        <v>2059</v>
      </c>
      <c r="F10" s="832" t="s">
        <v>2060</v>
      </c>
      <c r="G10" s="8"/>
      <c r="H10" s="833"/>
      <c r="I10" s="833"/>
      <c r="J10" s="833"/>
      <c r="K10" s="834"/>
    </row>
    <row r="11" spans="1:33" s="840" customFormat="1" ht="13.5" customHeight="1">
      <c r="A11" s="836" t="s">
        <v>1060</v>
      </c>
      <c r="B11" s="837" t="s">
        <v>2061</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2062</v>
      </c>
      <c r="C12" s="24">
        <f ca="1">ROUND(C11*F12,0)</f>
        <v>0</v>
      </c>
      <c r="D12" s="838"/>
      <c r="E12" s="143"/>
      <c r="F12" s="841">
        <f>'数据-取费表'!B33</f>
        <v>0</v>
      </c>
      <c r="G12" s="8" t="s">
        <v>2063</v>
      </c>
      <c r="H12" s="833"/>
      <c r="I12" s="833"/>
      <c r="J12" s="833"/>
      <c r="K12" s="834"/>
    </row>
    <row r="13" spans="1:33" s="840" customFormat="1" ht="13.5" customHeight="1">
      <c r="A13" s="836" t="s">
        <v>1062</v>
      </c>
      <c r="B13" s="837" t="s">
        <v>2064</v>
      </c>
      <c r="C13" s="24">
        <f ca="1">ROUND(IF(C1="",SUMIF('数据-取费表'!C:C,"住宅",'数据-取费表'!P:P)*F13,IF(INDIRECT("'数据-取费表'!c"&amp;$K$1)="住宅",INDIRECT("'数据-取费表'!P"&amp;$K$1)*F13,0)),0)</f>
        <v>0</v>
      </c>
      <c r="D13" s="881"/>
      <c r="E13" s="143"/>
      <c r="F13" s="841">
        <f>'数据-取费表'!B34</f>
        <v>0</v>
      </c>
      <c r="G13" s="8" t="s">
        <v>2065</v>
      </c>
      <c r="H13" s="833"/>
      <c r="I13" s="833"/>
      <c r="J13" s="833"/>
      <c r="K13" s="834"/>
    </row>
    <row r="14" spans="1:33" s="842" customFormat="1" ht="13.5" customHeight="1">
      <c r="A14" s="836" t="s">
        <v>1063</v>
      </c>
      <c r="B14" s="837" t="s">
        <v>2066</v>
      </c>
      <c r="C14" s="24">
        <f ca="1">ROUND(D14*E14*F11/10000,0)</f>
        <v>0</v>
      </c>
      <c r="D14" s="881">
        <f ca="1">IF(C1="",'数据-汇总表'!E3,INDIRECT("'数据-取费表'!K"&amp;$K$1)+INDIRECT("'数据-取费表'!S"&amp;$K$1))</f>
        <v>11320.8</v>
      </c>
      <c r="E14" s="24">
        <f>'数据-取费表'!B35</f>
        <v>0</v>
      </c>
      <c r="F14" s="841"/>
      <c r="G14" s="8" t="s">
        <v>2067</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2068</v>
      </c>
      <c r="C15" s="848">
        <f ca="1">ROUND(C11*F15,0)</f>
        <v>0</v>
      </c>
      <c r="D15" s="843"/>
      <c r="E15" s="848"/>
      <c r="F15" s="849">
        <f>'数据-取费表'!B36</f>
        <v>0</v>
      </c>
      <c r="G15" s="128" t="s">
        <v>2069</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2070</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2071</v>
      </c>
      <c r="C17" s="24">
        <f ca="1">ROUND(D17*E17/10000,0)</f>
        <v>0</v>
      </c>
      <c r="D17" s="881">
        <f ca="1">D14</f>
        <v>11320.8</v>
      </c>
      <c r="E17" s="24">
        <f>'数据-取费表'!B32</f>
        <v>0</v>
      </c>
      <c r="F17" s="843"/>
      <c r="G17" s="128" t="s">
        <v>2072</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2073</v>
      </c>
      <c r="C18" s="24">
        <f ca="1">C19+C20-IF(C1="",'数据-取费表'!B29,IF(G18="已全部缴纳",C19+C20,H18))</f>
        <v>0</v>
      </c>
      <c r="D18" s="881"/>
      <c r="E18" s="24"/>
      <c r="F18" s="841"/>
      <c r="G18" s="1850"/>
      <c r="H18" s="1216"/>
      <c r="I18" s="1851" t="s">
        <v>2074</v>
      </c>
      <c r="J18" s="844"/>
      <c r="K18" s="845"/>
    </row>
    <row r="19" spans="1:33" s="840" customFormat="1" ht="13.5" customHeight="1">
      <c r="A19" s="836" t="s">
        <v>624</v>
      </c>
      <c r="B19" s="837" t="s">
        <v>2075</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2076</v>
      </c>
      <c r="C20" s="24">
        <f ca="1">ROUND(D20*E20/10000,0)</f>
        <v>0</v>
      </c>
      <c r="D20" s="881">
        <f ca="1">IF(C1="",'数据-汇总表'!E6,IF(INDIRECT("'数据-取费表'!c"&amp;$K$1)="住宅",INDIRECT("'数据-取费表'!s"&amp;$K$1),INDIRECT("'数据-取费表'!k"&amp;$K$1)+INDIRECT("'数据-取费表'!s"&amp;$K$1)))</f>
        <v>11320.8</v>
      </c>
      <c r="E20" s="24">
        <f>'数据-取费表'!B28</f>
        <v>0</v>
      </c>
      <c r="F20" s="841"/>
      <c r="G20" s="15"/>
      <c r="H20" s="846"/>
      <c r="I20" s="846"/>
      <c r="J20" s="846"/>
      <c r="K20" s="847"/>
    </row>
    <row r="21" spans="1:33" s="840" customFormat="1" ht="13.5" customHeight="1">
      <c r="A21" s="828" t="s">
        <v>621</v>
      </c>
      <c r="B21" s="850" t="s">
        <v>2077</v>
      </c>
      <c r="C21" s="851">
        <f ca="1">C16+C17+C18</f>
        <v>0</v>
      </c>
      <c r="D21" s="852"/>
      <c r="E21" s="279"/>
      <c r="F21" s="279"/>
      <c r="G21" s="128" t="s">
        <v>2078</v>
      </c>
      <c r="H21" s="844"/>
      <c r="I21" s="844"/>
      <c r="J21" s="844"/>
      <c r="K21" s="845"/>
    </row>
    <row r="22" spans="1:33" s="840" customFormat="1" ht="13.5" customHeight="1">
      <c r="A22" s="828" t="s">
        <v>2050</v>
      </c>
      <c r="B22" s="850" t="s">
        <v>2079</v>
      </c>
      <c r="C22" s="851">
        <f ca="1">ROUND(C21*F22,0)</f>
        <v>0</v>
      </c>
      <c r="D22" s="279"/>
      <c r="E22" s="279"/>
      <c r="F22" s="853">
        <f>'数据-取费表'!B37</f>
        <v>0</v>
      </c>
      <c r="G22" s="8" t="s">
        <v>2080</v>
      </c>
      <c r="H22" s="833"/>
      <c r="I22" s="833"/>
      <c r="J22" s="833"/>
      <c r="K22" s="834"/>
    </row>
    <row r="23" spans="1:33" s="840" customFormat="1" ht="13.5" customHeight="1">
      <c r="A23" s="828" t="s">
        <v>2052</v>
      </c>
      <c r="B23" s="850" t="s">
        <v>2081</v>
      </c>
      <c r="C23" s="851">
        <f ca="1">ROUND(C4*F23*F11,0)</f>
        <v>0</v>
      </c>
      <c r="D23" s="279"/>
      <c r="E23" s="279"/>
      <c r="F23" s="853">
        <f>'数据-取费表'!B38</f>
        <v>0</v>
      </c>
      <c r="G23" s="8" t="s">
        <v>2082</v>
      </c>
      <c r="H23" s="833"/>
      <c r="I23" s="833"/>
      <c r="J23" s="833"/>
      <c r="K23" s="834"/>
    </row>
    <row r="24" spans="1:33" s="840" customFormat="1" ht="13.5" customHeight="1">
      <c r="A24" s="828" t="s">
        <v>2083</v>
      </c>
      <c r="B24" s="850" t="s">
        <v>2084</v>
      </c>
      <c r="C24" s="278">
        <f>ROUND(F24/(1+'数据-取费表'!C42),4)</f>
        <v>0</v>
      </c>
      <c r="D24" s="279" t="s">
        <v>15</v>
      </c>
      <c r="E24" s="279"/>
      <c r="F24" s="853">
        <f>IF(项目基本情况!B8="出让",0,'数据-取费表'!B48+'数据-取费表'!B49)</f>
        <v>0</v>
      </c>
      <c r="G24" s="8" t="s">
        <v>2085</v>
      </c>
      <c r="H24" s="855"/>
      <c r="I24" s="855"/>
      <c r="J24" s="855"/>
      <c r="K24" s="59"/>
    </row>
    <row r="25" spans="1:33" s="840" customFormat="1" ht="13.5" customHeight="1">
      <c r="A25" s="828" t="s">
        <v>2086</v>
      </c>
      <c r="B25" s="852" t="s">
        <v>2087</v>
      </c>
      <c r="C25" s="1151" t="e">
        <f ca="1">C27</f>
        <v>#VALUE!</v>
      </c>
      <c r="D25" s="278" t="e">
        <f ca="1">C26</f>
        <v>#VALUE!</v>
      </c>
      <c r="E25" s="280" t="s">
        <v>15</v>
      </c>
      <c r="F25" s="281" t="e">
        <f ca="1">'数据-取费表'!B40</f>
        <v>#VALUE!</v>
      </c>
      <c r="G25" s="128" t="str">
        <f>IF('数据-取费表'!B22&lt;=1,"单利计息。","复利计息。")&amp;"后续开发成本、管理费用及销售费用产生的利息。"</f>
        <v>单利计息。后续开发成本、管理费用及销售费用产生的利息。</v>
      </c>
      <c r="H25" s="855"/>
      <c r="I25" s="855"/>
      <c r="J25" s="855"/>
      <c r="K25" s="59"/>
    </row>
    <row r="26" spans="1:33" s="857" customFormat="1" ht="13.5" customHeight="1">
      <c r="A26" s="836" t="s">
        <v>622</v>
      </c>
      <c r="B26" s="856" t="s">
        <v>2088</v>
      </c>
      <c r="C26" s="1152" t="e">
        <f ca="1">ROUND(IF('数据-取费表'!B22&lt;=1,(1+C24)*F25*'数据-取费表'!B24,(1+C24)*(POWER((1+F25),'数据-取费表'!B24)-1)),4)</f>
        <v>#VALUE!</v>
      </c>
      <c r="D26" s="282"/>
      <c r="E26" s="283"/>
      <c r="F26" s="284"/>
      <c r="G26" s="1852" t="str">
        <f>IF('数据-取费表'!B22&lt;=1,"（(1)+取得税费率/(1+5%)）×年利率×建设期","（(1)+取得税费率）/(1+5%)×((1+年利率)^建设期-1)")</f>
        <v>（(1)+取得税费率/(1+5%)）×年利率×建设期</v>
      </c>
      <c r="H26" s="844"/>
      <c r="I26" s="844"/>
      <c r="J26" s="844"/>
      <c r="K26" s="845"/>
    </row>
    <row r="27" spans="1:33" s="857" customFormat="1" ht="13.5" customHeight="1">
      <c r="A27" s="836" t="s">
        <v>623</v>
      </c>
      <c r="B27" s="856" t="s">
        <v>2089</v>
      </c>
      <c r="C27" s="1153" t="e">
        <f ca="1">ROUND(IF('数据-取费表'!B22&lt;=1,(C21+C22+C23)*F25*'数据-取费表'!B24/2,(C21+C22+C23)*(POWER((1+F25),'数据-取费表'!B24/2)-1)),0)</f>
        <v>#VALUE!</v>
      </c>
      <c r="D27" s="282"/>
      <c r="E27" s="283"/>
      <c r="F27" s="284"/>
      <c r="G27" s="1852" t="str">
        <f>IF('数据-取费表'!B22&lt;=1,"（1）-（3）项×年利率×建设期÷2","（1）-（3）项×((1+年利率)^(建设期÷2)-1)")</f>
        <v>（1）-（3）项×年利率×建设期÷2</v>
      </c>
      <c r="H27" s="844"/>
      <c r="I27" s="844"/>
      <c r="J27" s="844"/>
      <c r="K27" s="845"/>
    </row>
    <row r="28" spans="1:33" s="287" customFormat="1" ht="13.5" customHeight="1">
      <c r="A28" s="828" t="s">
        <v>2090</v>
      </c>
      <c r="B28" s="1853" t="s">
        <v>2091</v>
      </c>
      <c r="C28" s="285" t="e">
        <f ca="1">C30</f>
        <v>#DIV/0!</v>
      </c>
      <c r="D28" s="278" t="e">
        <f ca="1">C29</f>
        <v>#DIV/0!</v>
      </c>
      <c r="E28" s="280" t="s">
        <v>15</v>
      </c>
      <c r="F28" s="286" t="e">
        <f ca="1">IF(C1="",'数据-取费表'!Q16,INDIRECT("'数据-取费表'!q"&amp;$K$1))</f>
        <v>#DIV/0!</v>
      </c>
      <c r="G28" s="854"/>
      <c r="H28" s="855"/>
      <c r="I28" s="855"/>
      <c r="J28" s="855"/>
      <c r="K28" s="59"/>
    </row>
    <row r="29" spans="1:33" s="289" customFormat="1" ht="13.5" customHeight="1">
      <c r="A29" s="836" t="s">
        <v>622</v>
      </c>
      <c r="B29" s="858" t="s">
        <v>2092</v>
      </c>
      <c r="C29" s="282" t="e">
        <f ca="1">ROUND((1+C24)*F28*'数据-取费表'!B24/'数据-取费表'!B20,4)</f>
        <v>#DIV/0!</v>
      </c>
      <c r="D29" s="282"/>
      <c r="E29" s="283"/>
      <c r="F29" s="288"/>
      <c r="G29" s="128" t="s">
        <v>2093</v>
      </c>
      <c r="H29" s="844"/>
      <c r="I29" s="844"/>
      <c r="J29" s="844"/>
      <c r="K29" s="845"/>
    </row>
    <row r="30" spans="1:33" s="289" customFormat="1" ht="13.5" customHeight="1">
      <c r="A30" s="836" t="s">
        <v>623</v>
      </c>
      <c r="B30" s="858" t="s">
        <v>2094</v>
      </c>
      <c r="C30" s="290" t="e">
        <f ca="1">ROUND((C21+C22+C23)*F28,0)</f>
        <v>#DIV/0!</v>
      </c>
      <c r="D30" s="282"/>
      <c r="E30" s="283"/>
      <c r="F30" s="288"/>
      <c r="G30" s="128"/>
      <c r="H30" s="844"/>
      <c r="I30" s="844"/>
      <c r="J30" s="844"/>
      <c r="K30" s="845"/>
    </row>
    <row r="31" spans="1:33" s="840" customFormat="1" ht="13.5" customHeight="1" thickBot="1">
      <c r="A31" s="1854" t="s">
        <v>2095</v>
      </c>
      <c r="B31" s="868" t="s">
        <v>2096</v>
      </c>
      <c r="C31" s="869">
        <f>ROUND(C4*F31/(1+'数据-取费表'!C42),0)</f>
        <v>0</v>
      </c>
      <c r="D31" s="870"/>
      <c r="E31" s="871"/>
      <c r="F31" s="872">
        <f>'数据-取费表'!B41</f>
        <v>0</v>
      </c>
      <c r="G31" s="873" t="s">
        <v>2097</v>
      </c>
      <c r="H31" s="874"/>
      <c r="I31" s="874"/>
      <c r="J31" s="874"/>
      <c r="K31" s="875"/>
    </row>
    <row r="32" spans="1:33" s="835" customFormat="1" ht="13.5" customHeight="1" thickBot="1">
      <c r="A32" s="457" t="s">
        <v>2098</v>
      </c>
      <c r="B32" s="864"/>
      <c r="C32" s="865" t="e">
        <f ca="1">ROUND((C4-C21-C22-C23-C25-C28-C31)/(1+C24+D25+D28),0)</f>
        <v>#VALUE!</v>
      </c>
      <c r="D32" s="864"/>
      <c r="E32" s="864"/>
      <c r="F32" s="864"/>
      <c r="G32" s="866" t="s">
        <v>2099</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875" style="256" customWidth="1"/>
    <col min="6" max="6" width="10.625" style="256" customWidth="1"/>
    <col min="7" max="7" width="4.875" style="256" customWidth="1"/>
    <col min="8" max="8" width="8.5" style="256" customWidth="1"/>
    <col min="9" max="9" width="21.125" style="256" customWidth="1"/>
    <col min="10" max="10" width="12.125" style="256" customWidth="1"/>
    <col min="11" max="11" width="45.125" style="1501" customWidth="1"/>
    <col min="12" max="12" width="16.375" style="256" customWidth="1"/>
    <col min="13" max="13" width="13" style="256" customWidth="1"/>
    <col min="14" max="14" width="13.875" style="1421" customWidth="1"/>
    <col min="15" max="15" width="5.125" style="1421" customWidth="1"/>
    <col min="16" max="16" width="25.875" style="1421" customWidth="1"/>
    <col min="17" max="17" width="13.875" style="1421" customWidth="1"/>
    <col min="18" max="18" width="20.5" style="1421" customWidth="1"/>
    <col min="19" max="19" width="1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t="e">
        <f ca="1">C40+J29+L46</f>
        <v>#VALUE!</v>
      </c>
      <c r="C2" s="1418" t="s">
        <v>1240</v>
      </c>
      <c r="D2" s="1418"/>
      <c r="E2" s="1424"/>
      <c r="F2" s="1425"/>
      <c r="G2" s="2645"/>
      <c r="H2" s="2635"/>
      <c r="I2" s="2635"/>
      <c r="J2" s="2635"/>
      <c r="K2" s="2636"/>
      <c r="L2" s="2635"/>
      <c r="M2" s="2635"/>
    </row>
    <row r="3" spans="1:37" ht="18" customHeight="1" thickBot="1">
      <c r="A3" s="1426" t="s">
        <v>1241</v>
      </c>
      <c r="B3" s="1427">
        <f ca="1">IF(ISERROR(B2*10000/F43),0,ROUND(B2*10000/F43,0))</f>
        <v>0</v>
      </c>
      <c r="C3" s="1418" t="s">
        <v>1242</v>
      </c>
      <c r="D3" s="1418"/>
      <c r="E3" s="1424"/>
      <c r="F3" s="1425"/>
      <c r="G3" s="2645"/>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0</v>
      </c>
      <c r="D5" s="1402" t="s">
        <v>1126</v>
      </c>
      <c r="E5" s="1116"/>
      <c r="F5" s="1117"/>
      <c r="G5" s="1421"/>
      <c r="H5" s="297">
        <v>1</v>
      </c>
      <c r="I5" s="298" t="s">
        <v>1125</v>
      </c>
      <c r="J5" s="1115">
        <f ca="1">J6+J10+J12</f>
        <v>0</v>
      </c>
      <c r="K5" s="1402" t="s">
        <v>1126</v>
      </c>
      <c r="L5" s="1116"/>
      <c r="M5" s="1117"/>
    </row>
    <row r="6" spans="1:37" ht="18" customHeight="1">
      <c r="A6" s="1114" t="s">
        <v>822</v>
      </c>
      <c r="B6" s="3188" t="s">
        <v>1127</v>
      </c>
      <c r="C6" s="1119">
        <f ca="1">ROUND(F6*F8*F7*(1-F9)/10000,0)</f>
        <v>0</v>
      </c>
      <c r="D6" s="152" t="s">
        <v>2610</v>
      </c>
      <c r="E6" s="300" t="s">
        <v>1129</v>
      </c>
      <c r="F6" s="301">
        <f ca="1">INDIRECT("'数据-取费表'!u"&amp;$G$1)</f>
        <v>0</v>
      </c>
      <c r="G6" s="1421"/>
      <c r="H6" s="1114" t="s">
        <v>822</v>
      </c>
      <c r="I6" s="3188" t="s">
        <v>1127</v>
      </c>
      <c r="J6" s="299">
        <f ca="1">ROUND(M6*M8*M7*(1-M9)/10000,0)</f>
        <v>0</v>
      </c>
      <c r="K6" s="152" t="s">
        <v>2609</v>
      </c>
      <c r="L6" s="300" t="s">
        <v>1129</v>
      </c>
      <c r="M6" s="301">
        <f ca="1">INDIRECT("'数据-取费表'!z"&amp;$G$1)</f>
        <v>0</v>
      </c>
    </row>
    <row r="7" spans="1:37" ht="18" customHeight="1">
      <c r="A7" s="1118"/>
      <c r="B7" s="3189"/>
      <c r="C7" s="1120"/>
      <c r="D7" s="305"/>
      <c r="E7" s="1121" t="s">
        <v>1130</v>
      </c>
      <c r="F7" s="301">
        <f ca="1">IF(INDIRECT("'数据-取费表'!ah"&amp;$G$1)="",INDIRECT("'数据-取费表'!k"&amp;$G$1),INDIRECT("'数据-取费表'!ah"&amp;$G$1))</f>
        <v>0</v>
      </c>
      <c r="G7" s="1421"/>
      <c r="H7" s="302"/>
      <c r="I7" s="3189"/>
      <c r="J7" s="304"/>
      <c r="K7" s="305"/>
      <c r="L7" s="300" t="s">
        <v>1130</v>
      </c>
      <c r="M7" s="301">
        <f ca="1">F7</f>
        <v>0</v>
      </c>
    </row>
    <row r="8" spans="1:37" ht="18" customHeight="1">
      <c r="A8" s="302"/>
      <c r="B8" s="3189"/>
      <c r="C8" s="304"/>
      <c r="D8" s="305"/>
      <c r="E8" s="300" t="s">
        <v>1131</v>
      </c>
      <c r="F8" s="301">
        <f ca="1">INDIRECT("'数据-取费表'!ai"&amp;$G$1)</f>
        <v>0</v>
      </c>
      <c r="G8" s="1421"/>
      <c r="H8" s="302"/>
      <c r="I8" s="3189"/>
      <c r="J8" s="304"/>
      <c r="K8" s="305"/>
      <c r="L8" s="300" t="s">
        <v>1131</v>
      </c>
      <c r="M8" s="301">
        <f ca="1">INDIRECT("'数据-取费表'!ai"&amp;$G$1)</f>
        <v>0</v>
      </c>
    </row>
    <row r="9" spans="1:37" ht="18" customHeight="1">
      <c r="A9" s="302"/>
      <c r="B9" s="3190"/>
      <c r="C9" s="304"/>
      <c r="D9" s="305"/>
      <c r="E9" s="300" t="s">
        <v>1132</v>
      </c>
      <c r="F9" s="310">
        <f ca="1">INDIRECT("'数据-取费表'!w"&amp;$G$1)</f>
        <v>0</v>
      </c>
      <c r="G9" s="1421"/>
      <c r="H9" s="302"/>
      <c r="I9" s="319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2618</v>
      </c>
      <c r="E10" s="311" t="s">
        <v>1134</v>
      </c>
      <c r="F10" s="1161"/>
      <c r="G10" s="1421"/>
      <c r="H10" s="1114" t="s">
        <v>826</v>
      </c>
      <c r="I10" s="1403" t="s">
        <v>1133</v>
      </c>
      <c r="J10" s="299">
        <f ca="1">ROUND(IF(M10="押一",J6/12*M11,IF(M10="押二",J6/12*2*M11,IF(M10="押三",J6/12*3*M11,J11*M11))),0)</f>
        <v>0</v>
      </c>
      <c r="K10" s="155" t="s">
        <v>2617</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INDIRECT("'数据-取费表'!m"&amp;$G$1)+INDIRECT("'数据-取费表'!t"&amp;$G$1)</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ROUND(F17*(F43+INDIRECT("'数据-取费表'!S"&amp;$G$1))/10000,0)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ROUND(J6*M18/(1+'数据-取费表'!C42),2)</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IF(K19="按租金收入计税",ROUND(J6*M19/(1+'数据-取费表'!C42),2),ROUND(C29*M19*0.7,2))</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ROUND(M20*M21/10000,2)</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ROUND(J14*M22,1)</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ROUND(J13*M23,1)</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ROUND(J5*M24,1)</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IF(项目基本情况!B11="自然人","——",ROUND(C6*F32/(1+'数据-取费表'!C42),2))</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IF(项目基本情况!B11="自然人","——",IF(D33="按租金收入计税",ROUND(C6*F33/(1+'数据-取费表'!C42),2),IF(D33="按房产原值计税",ROUND(C29*F33*0.7,2),INDIRECT("'数据-取费表'!Aj"&amp;$G$1))))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IF(项目基本情况!B11="自然人","——",ROUND(F34*F35/10000,2))</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ROUND(C29*F36,1)</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ROUND(C13*F37,1)</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ROUND(C40*10000/F43,0)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1243</v>
      </c>
      <c r="P45" s="1495"/>
      <c r="Q45" s="1495"/>
      <c r="R45" s="1495"/>
    </row>
    <row r="46" spans="1:18" s="1421" customFormat="1" ht="13.5" thickBot="1">
      <c r="A46" s="1440" t="s">
        <v>1244</v>
      </c>
      <c r="C46" s="1441" t="e">
        <f ca="1">C68-C40</f>
        <v>#VALUE!</v>
      </c>
      <c r="D46" s="1442" t="str">
        <f>C2</f>
        <v>万元</v>
      </c>
      <c r="E46" s="1436"/>
      <c r="F46" s="1436"/>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28.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ROUND(F49*F51*F50*(1-F52)/10000,0)</f>
        <v>0</v>
      </c>
      <c r="D49" s="1099" t="s">
        <v>2611</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16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24.75" thickBot="1">
      <c r="A53" s="1189" t="s">
        <v>865</v>
      </c>
      <c r="B53" s="1410" t="s">
        <v>1133</v>
      </c>
      <c r="C53" s="314">
        <f ca="1">ROUND(IF(F53="押一",C49/12*F11,IF(F53="押二",C49/12*2*F11,IF(F53="押三",C49/12*3*F11,C54*F11))),0)</f>
        <v>0</v>
      </c>
      <c r="D53" s="155" t="s">
        <v>2617</v>
      </c>
      <c r="E53" s="311" t="s">
        <v>1134</v>
      </c>
      <c r="F53" s="1161"/>
      <c r="I53" s="1473" t="s">
        <v>1271</v>
      </c>
      <c r="J53" s="2163">
        <f ca="1">IF(M47="住宅",IF(D1="——",MAX(J51,L48),MAX(J51,L48-'数据-取费表'!B24)),IF(D1="——",MIN(J51,L48),MIN(J51,L48-'数据-取费表'!B24)))</f>
        <v>0</v>
      </c>
      <c r="K53" s="3186" t="s">
        <v>1272</v>
      </c>
      <c r="L53" s="3187"/>
      <c r="O53" s="1454" t="s">
        <v>833</v>
      </c>
      <c r="P53" s="1455" t="s">
        <v>1273</v>
      </c>
      <c r="Q53" s="1456" t="e">
        <f ca="1">Q47+Q48</f>
        <v>#VALUE!</v>
      </c>
      <c r="R53" s="1456" t="s">
        <v>834</v>
      </c>
    </row>
    <row r="54" spans="1:18" s="1421" customFormat="1" ht="13.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t="s">
        <v>1277</v>
      </c>
      <c r="O55" s="1447" t="s">
        <v>1246</v>
      </c>
      <c r="P55" s="1448" t="s">
        <v>1247</v>
      </c>
      <c r="Q55" s="1449" t="s">
        <v>1248</v>
      </c>
      <c r="R55" s="1449" t="s">
        <v>1249</v>
      </c>
    </row>
    <row r="56" spans="1:18" s="1421" customFormat="1" ht="25.5" thickTop="1" thickBot="1">
      <c r="A56" s="1010">
        <v>2</v>
      </c>
      <c r="B56" s="1011" t="s">
        <v>1138</v>
      </c>
      <c r="C56" s="230" t="e">
        <f ca="1">C13</f>
        <v>#VALUE!</v>
      </c>
      <c r="D56" s="1481"/>
      <c r="E56" s="1482"/>
      <c r="F56" s="1474"/>
      <c r="I56" s="1483" t="s">
        <v>1278</v>
      </c>
      <c r="J56" s="1484"/>
      <c r="K56" s="1457" t="s">
        <v>1279</v>
      </c>
      <c r="L56" s="1460">
        <f ca="1">IF(L48&lt;J51,"——",L48-J53)</f>
        <v>0</v>
      </c>
      <c r="O56" s="1454" t="s">
        <v>827</v>
      </c>
      <c r="P56" s="1455" t="s">
        <v>1252</v>
      </c>
      <c r="Q56" s="1456" t="e">
        <f ca="1">C40+J29</f>
        <v>#VALUE!</v>
      </c>
      <c r="R56" s="1456" t="s">
        <v>1253</v>
      </c>
    </row>
    <row r="57" spans="1:18" s="1421" customFormat="1" ht="24.75" thickBot="1">
      <c r="A57" s="1485"/>
      <c r="B57" s="1003" t="s">
        <v>1202</v>
      </c>
      <c r="C57" s="236" t="e">
        <f ca="1">C29</f>
        <v>#VALUE!</v>
      </c>
      <c r="D57" s="1486"/>
      <c r="E57" s="1487"/>
      <c r="F57" s="1488"/>
      <c r="I57" s="1489" t="s">
        <v>1280</v>
      </c>
      <c r="J57" s="1490">
        <f ca="1">IF(OR(M47="住宅",J51&lt;L48,J56="是"),"——",J51-L48)</f>
        <v>0</v>
      </c>
      <c r="K57" s="1457" t="s">
        <v>1281</v>
      </c>
      <c r="L57" s="1460" t="e">
        <f ca="1">IF(L48&lt;J51,"——",IF(L55="比较法",L49,IF(L55="基准地价",L50,L51)))</f>
        <v>#VALUE!</v>
      </c>
      <c r="O57" s="1454" t="s">
        <v>828</v>
      </c>
      <c r="P57" s="1455" t="s">
        <v>1282</v>
      </c>
      <c r="Q57" s="1456" t="e">
        <f ca="1">L60</f>
        <v>#VALUE!</v>
      </c>
      <c r="R57" s="1456" t="s">
        <v>1283</v>
      </c>
    </row>
    <row r="58" spans="1:18" s="1421" customFormat="1" ht="24.75" thickBot="1">
      <c r="A58" s="313" t="s">
        <v>817</v>
      </c>
      <c r="B58" s="1011" t="s">
        <v>1148</v>
      </c>
      <c r="C58" s="314" t="e">
        <f ca="1">ROUND(C59+C64+C65+C66,0)</f>
        <v>#VALUE!</v>
      </c>
      <c r="D58" s="1013" t="s">
        <v>1149</v>
      </c>
      <c r="E58" s="1014"/>
      <c r="F58" s="1015"/>
      <c r="I58" s="1489" t="s">
        <v>1284</v>
      </c>
      <c r="J58" s="1491" t="e">
        <f ca="1">IF(J55&lt;0.4,0.4,J55)</f>
        <v>#DIV/0!</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IF(项目基本情况!B11="自然人","——",ROUND(C48*F60/(1+'数据-取费表'!C42),2))</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IF(项目基本情况!B11="自然人","——",IF(D61="按租金收入计税",ROUND(C49*F61/(1+'数据-取费表'!C42),2),IF(D61="按房产原值计税",ROUND(C57*F61*0.7,2),INDIRECT("'数据-取费表'!Aj"&amp;$G$1))))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ROUND(C57*F64,1)</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ROUND(C56*F65,1)</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5" thickBot="1">
      <c r="A66" s="1035" t="s">
        <v>1228</v>
      </c>
      <c r="B66" s="1003" t="s">
        <v>1163</v>
      </c>
      <c r="C66" s="24">
        <f ca="1">ROUND(C48*F66,1)</f>
        <v>0</v>
      </c>
      <c r="D66" s="1017" t="s">
        <v>1229</v>
      </c>
      <c r="E66" s="1003" t="s">
        <v>1146</v>
      </c>
      <c r="F66" s="310">
        <f t="shared" ca="1" si="0"/>
        <v>0</v>
      </c>
      <c r="O66" s="1454" t="s">
        <v>828</v>
      </c>
      <c r="P66" s="1455" t="s">
        <v>1282</v>
      </c>
      <c r="Q66" s="1456" t="e">
        <f ca="1">L60</f>
        <v>#VALUE!</v>
      </c>
      <c r="R66" s="1456" t="s">
        <v>1305</v>
      </c>
    </row>
    <row r="67" spans="1:18" s="1421" customFormat="1" ht="1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5"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c r="O70" s="1463" t="s">
        <v>836</v>
      </c>
      <c r="P70" s="1500" t="s">
        <v>1309</v>
      </c>
      <c r="Q70" s="1456" t="e">
        <f ca="1">C13</f>
        <v>#VALUE!</v>
      </c>
      <c r="R70" s="1456" t="s">
        <v>1253</v>
      </c>
    </row>
    <row r="71" spans="1:18" s="1421" customFormat="1" ht="13.5" thickBot="1">
      <c r="A71" s="1024" t="s">
        <v>820</v>
      </c>
      <c r="B71" s="1025" t="s">
        <v>1211</v>
      </c>
      <c r="C71" s="333" t="e">
        <f ca="1">ROUND(C68*10000/F71,0)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#VALUE!</v>
      </c>
    </row>
    <row r="80" spans="1:18">
      <c r="B80" s="337" t="s">
        <v>1235</v>
      </c>
      <c r="C80" s="272" t="e">
        <f ca="1">ROUND(C75/C39,3)</f>
        <v>#VALUE!</v>
      </c>
    </row>
    <row r="81" spans="2:3">
      <c r="B81" s="268" t="s">
        <v>1236</v>
      </c>
      <c r="C81" s="236"/>
    </row>
    <row r="82" spans="2:3">
      <c r="B82" s="271" t="s">
        <v>1237</v>
      </c>
      <c r="C82" s="273" t="e">
        <f ca="1">1-C83</f>
        <v>#VALUE!</v>
      </c>
    </row>
    <row r="83" spans="2:3">
      <c r="B83" s="271" t="s">
        <v>1238</v>
      </c>
      <c r="C83" s="272"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875" style="256" customWidth="1"/>
    <col min="6" max="6" width="10.625" style="256" customWidth="1"/>
    <col min="7" max="7" width="4.875" style="256" customWidth="1"/>
    <col min="8" max="8" width="8.5" style="256" customWidth="1"/>
    <col min="9" max="9" width="21.125" style="256" customWidth="1"/>
    <col min="10" max="10" width="12.125" style="256" customWidth="1"/>
    <col min="11" max="11" width="40.125" style="1501" customWidth="1"/>
    <col min="12" max="12" width="16.375" style="256" customWidth="1"/>
    <col min="13" max="13" width="13" style="256" customWidth="1"/>
    <col min="14" max="14" width="13.875" style="1421" customWidth="1"/>
    <col min="15" max="15" width="5.125" style="1421" customWidth="1"/>
    <col min="16" max="16" width="25.875" style="1421" customWidth="1"/>
    <col min="17" max="17" width="13.875" style="1421" customWidth="1"/>
    <col min="18" max="18" width="20.5" style="1421" customWidth="1"/>
    <col min="19" max="19" width="1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#VALUE!</v>
      </c>
      <c r="C2" s="1418" t="s">
        <v>1315</v>
      </c>
      <c r="D2" s="1504" t="e">
        <f ca="1">C40+J29+L46</f>
        <v>#VALUE!</v>
      </c>
      <c r="E2" s="1424" t="s">
        <v>1316</v>
      </c>
      <c r="F2" s="1425"/>
      <c r="G2" s="2645"/>
      <c r="H2" s="2635"/>
      <c r="I2" s="2635"/>
      <c r="J2" s="2635"/>
      <c r="K2" s="2636"/>
      <c r="L2" s="2635"/>
      <c r="M2" s="2635"/>
    </row>
    <row r="3" spans="1:37" ht="18" customHeight="1" thickBot="1">
      <c r="A3" s="1426" t="s">
        <v>1317</v>
      </c>
      <c r="B3" s="1427">
        <f ca="1">IF(ISERROR(D2/F43),0,ROUND(D2/F43,0))</f>
        <v>0</v>
      </c>
      <c r="C3" s="1418" t="s">
        <v>1318</v>
      </c>
      <c r="D3" s="1418"/>
      <c r="E3" s="1424"/>
      <c r="F3" s="1425"/>
      <c r="G3" s="2645"/>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188" t="s">
        <v>1127</v>
      </c>
      <c r="C6" s="1119">
        <f ca="1">ROUND(F6*F8*F7*(1-F9),0)</f>
        <v>0</v>
      </c>
      <c r="D6" s="152" t="s">
        <v>2607</v>
      </c>
      <c r="E6" s="300" t="s">
        <v>1129</v>
      </c>
      <c r="F6" s="301">
        <f ca="1">INDIRECT("'数据-取费表'!u"&amp;$G$1)</f>
        <v>0</v>
      </c>
      <c r="G6" s="1421"/>
      <c r="H6" s="1114" t="s">
        <v>822</v>
      </c>
      <c r="I6" s="3188" t="s">
        <v>1127</v>
      </c>
      <c r="J6" s="299">
        <f ca="1">ROUND(M6*M8*M7*(1-M9),0)</f>
        <v>0</v>
      </c>
      <c r="K6" s="1413" t="s">
        <v>2608</v>
      </c>
      <c r="L6" s="300" t="s">
        <v>1129</v>
      </c>
      <c r="M6" s="301">
        <f ca="1">INDIRECT("'数据-取费表'!z"&amp;$G$1)</f>
        <v>0</v>
      </c>
    </row>
    <row r="7" spans="1:37" ht="18" customHeight="1">
      <c r="A7" s="1118"/>
      <c r="B7" s="3189"/>
      <c r="C7" s="1120"/>
      <c r="D7" s="305"/>
      <c r="E7" s="1121" t="s">
        <v>1130</v>
      </c>
      <c r="F7" s="301">
        <f ca="1">IF(INDIRECT("'数据-取费表'!ah"&amp;$G$1)="",INDIRECT("'数据-取费表'!k"&amp;$G$1),INDIRECT("'数据-取费表'!ah"&amp;$G$1))</f>
        <v>0</v>
      </c>
      <c r="G7" s="1421"/>
      <c r="H7" s="302"/>
      <c r="I7" s="3189"/>
      <c r="J7" s="304"/>
      <c r="K7" s="305"/>
      <c r="L7" s="300" t="s">
        <v>1130</v>
      </c>
      <c r="M7" s="301">
        <f ca="1">F7</f>
        <v>0</v>
      </c>
    </row>
    <row r="8" spans="1:37" ht="18" customHeight="1">
      <c r="A8" s="302"/>
      <c r="B8" s="3189"/>
      <c r="C8" s="304"/>
      <c r="D8" s="305"/>
      <c r="E8" s="300" t="s">
        <v>1131</v>
      </c>
      <c r="F8" s="301">
        <f ca="1">INDIRECT("'数据-取费表'!ai"&amp;$G$1)</f>
        <v>0</v>
      </c>
      <c r="G8" s="1421"/>
      <c r="H8" s="302"/>
      <c r="I8" s="3189"/>
      <c r="J8" s="304"/>
      <c r="K8" s="305"/>
      <c r="L8" s="300" t="s">
        <v>1131</v>
      </c>
      <c r="M8" s="301">
        <f ca="1">INDIRECT("'数据-取费表'!ai"&amp;$G$1)</f>
        <v>0</v>
      </c>
    </row>
    <row r="9" spans="1:37" ht="18" customHeight="1">
      <c r="A9" s="302"/>
      <c r="B9" s="3190"/>
      <c r="C9" s="304"/>
      <c r="D9" s="305"/>
      <c r="E9" s="300" t="s">
        <v>1132</v>
      </c>
      <c r="F9" s="310">
        <f ca="1">INDIRECT("'数据-取费表'!w"&amp;$G$1)</f>
        <v>0</v>
      </c>
      <c r="G9" s="1421"/>
      <c r="H9" s="302"/>
      <c r="I9" s="319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2617</v>
      </c>
      <c r="E10" s="311" t="s">
        <v>1134</v>
      </c>
      <c r="F10" s="1161"/>
      <c r="G10" s="1421"/>
      <c r="H10" s="1114" t="s">
        <v>826</v>
      </c>
      <c r="I10" s="1403" t="s">
        <v>1133</v>
      </c>
      <c r="J10" s="299">
        <f ca="1">ROUND(IF(M10="押一",J6/12*M11,IF(M10="押二",J6/12*2*M11,IF(M10="押三",J6/12*3*M11,J11*M11))),0)</f>
        <v>0</v>
      </c>
      <c r="K10" s="1414" t="s">
        <v>2619</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ROUND(J6*M18/(1+'数据-取费表'!C42),0)</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IF(K19="按租金收入计税",ROUND(J6*M19/(1+'数据-取费表'!C42),0),ROUND(C29*M19*0.7,0))</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ROUND(M20*M21,0)</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ROUND(J14*M22,0)</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ROUND(J13*M23,0)</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IF(项目基本情况!B11="自然人","——",ROUND(C6*F32/(1+'数据-取费表'!C42),0))</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IF(项目基本情况!B11="自然人","——",IF(D33="按租金收入计税",ROUND(C6*F33/(1+'数据-取费表'!C42),0),IF(D33="按房产原值计税",ROUND(C29*F33*0.7,0),INDIRECT("'数据-取费表'!Aj"&amp;$G$1))))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ROUND(C29*F36,0)</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ROUND(C13*F37,0)</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#VALUE!</v>
      </c>
      <c r="D45" s="1506" t="s">
        <v>1328</v>
      </c>
      <c r="E45" s="1436"/>
      <c r="F45" s="1436"/>
      <c r="O45" s="1439" t="s">
        <v>1243</v>
      </c>
      <c r="P45" s="1495"/>
      <c r="Q45" s="1495"/>
      <c r="R45" s="1495"/>
    </row>
    <row r="46" spans="1:18" s="1421" customFormat="1" ht="13.5" thickBot="1">
      <c r="A46" s="1440" t="s">
        <v>1244</v>
      </c>
      <c r="C46" s="1441" t="e">
        <f ca="1">ROUND(C45/10000,0)</f>
        <v>#VALUE!</v>
      </c>
      <c r="D46" s="1442" t="str">
        <f>C2</f>
        <v>万元</v>
      </c>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28.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2620</v>
      </c>
      <c r="E53" s="311" t="s">
        <v>1134</v>
      </c>
      <c r="F53" s="1161"/>
      <c r="I53" s="1473" t="s">
        <v>1271</v>
      </c>
      <c r="J53" s="2163">
        <f ca="1">IF(M47="住宅",IF(D1="——",MAX(J51,L48),MAX(J51,L48-'数据-取费表'!B24)),IF(D1="——",MIN(J51,L48),MIN(J51,L48-'数据-取费表'!B24)))</f>
        <v>0</v>
      </c>
      <c r="K53" s="3186" t="s">
        <v>1272</v>
      </c>
      <c r="L53" s="3187"/>
      <c r="O53" s="1454" t="s">
        <v>833</v>
      </c>
      <c r="P53" s="1455" t="s">
        <v>1273</v>
      </c>
      <c r="Q53" s="1456" t="e">
        <f ca="1">Q47+Q48</f>
        <v>#VALUE!</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t="e">
        <f ca="1">C13</f>
        <v>#VALUE!</v>
      </c>
      <c r="D56" s="1481"/>
      <c r="E56" s="1482"/>
      <c r="F56" s="1474"/>
      <c r="I56" s="1483" t="s">
        <v>1278</v>
      </c>
      <c r="J56" s="1484"/>
      <c r="K56" s="1457" t="s">
        <v>1279</v>
      </c>
      <c r="L56" s="1460">
        <f ca="1">IF(L48&lt;J51,"——",L48-J51)</f>
        <v>0</v>
      </c>
      <c r="O56" s="1454" t="s">
        <v>827</v>
      </c>
      <c r="P56" s="1455" t="s">
        <v>1252</v>
      </c>
      <c r="Q56" s="1456" t="e">
        <f ca="1">C40+J29</f>
        <v>#VALUE!</v>
      </c>
      <c r="R56" s="1456" t="s">
        <v>1253</v>
      </c>
    </row>
    <row r="57" spans="1:18" s="1421" customFormat="1" ht="24.75" thickBot="1">
      <c r="A57" s="1485"/>
      <c r="B57" s="1003" t="s">
        <v>1202</v>
      </c>
      <c r="C57" s="236" t="e">
        <f ca="1">C29</f>
        <v>#VALUE!</v>
      </c>
      <c r="D57" s="1486"/>
      <c r="E57" s="1487"/>
      <c r="F57" s="1488"/>
      <c r="I57" s="1489" t="s">
        <v>1280</v>
      </c>
      <c r="J57" s="1490">
        <f ca="1">IF(OR(M47="住宅",J51&lt;L48,J56="是"),"——",J51-L48)</f>
        <v>0</v>
      </c>
      <c r="K57" s="1457" t="s">
        <v>1329</v>
      </c>
      <c r="L57" s="1460" t="e">
        <f ca="1">IF(L48&lt;J51,"——",IF(L55="比较法",L49,IF(L55="基准地价",L50,L51)))</f>
        <v>#VALUE!</v>
      </c>
      <c r="O57" s="1454" t="s">
        <v>828</v>
      </c>
      <c r="P57" s="1455" t="s">
        <v>1330</v>
      </c>
      <c r="Q57" s="1456" t="e">
        <f ca="1">L60</f>
        <v>#VALUE!</v>
      </c>
      <c r="R57" s="1456" t="s">
        <v>1331</v>
      </c>
    </row>
    <row r="58" spans="1:18" s="1421" customFormat="1" ht="24.75" thickBot="1">
      <c r="A58" s="313" t="s">
        <v>817</v>
      </c>
      <c r="B58" s="1011" t="s">
        <v>1148</v>
      </c>
      <c r="C58" s="314" t="e">
        <f ca="1">ROUND(C59+C64+C65+C66,0)</f>
        <v>#VALUE!</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IF(项目基本情况!B11="自然人","——",ROUND(C48*F60/(1+'数据-取费表'!C42),0))</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IF(项目基本情况!B11="自然人","——",IF(D61="按租金收入计税",ROUND(C49*F61/(1+'数据-取费表'!C42),0),IF(D61="按房产原值计税",ROUND(C57*F61*0.7,0),INDIRECT("'数据-取费表'!Aj"&amp;$G$1))))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ROUND(C57*F64,0)</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ROUND(C56*F65,0)</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5" thickBot="1">
      <c r="A66" s="1035" t="s">
        <v>1228</v>
      </c>
      <c r="B66" s="1003" t="s">
        <v>1163</v>
      </c>
      <c r="C66" s="24">
        <f ca="1">ROUND(C48*F66,0)</f>
        <v>0</v>
      </c>
      <c r="D66" s="1017" t="s">
        <v>1229</v>
      </c>
      <c r="E66" s="1003" t="s">
        <v>1146</v>
      </c>
      <c r="F66" s="310">
        <f t="shared" ca="1" si="0"/>
        <v>0</v>
      </c>
      <c r="O66" s="1454" t="s">
        <v>828</v>
      </c>
      <c r="P66" s="1455" t="s">
        <v>1282</v>
      </c>
      <c r="Q66" s="1456" t="e">
        <f ca="1">L60</f>
        <v>#VALUE!</v>
      </c>
      <c r="R66" s="1456" t="s">
        <v>1305</v>
      </c>
    </row>
    <row r="67" spans="1:18" s="1421" customFormat="1" ht="1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5"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f ca="1">F42</f>
        <v>0</v>
      </c>
      <c r="O70" s="1463" t="s">
        <v>836</v>
      </c>
      <c r="P70" s="1500" t="s">
        <v>1309</v>
      </c>
      <c r="Q70" s="1456" t="e">
        <f ca="1">C13</f>
        <v>#VALUE!</v>
      </c>
      <c r="R70" s="1456" t="s">
        <v>1253</v>
      </c>
    </row>
    <row r="71" spans="1:18" s="1421" customFormat="1" ht="13.5" thickBot="1">
      <c r="A71" s="1024" t="s">
        <v>820</v>
      </c>
      <c r="B71" s="1025" t="s">
        <v>1211</v>
      </c>
      <c r="C71" s="333" t="e">
        <f ca="1">ROUND(C68/F71,0)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#VALUE!</v>
      </c>
    </row>
    <row r="80" spans="1:18">
      <c r="B80" s="337" t="s">
        <v>1235</v>
      </c>
      <c r="C80" s="272" t="e">
        <f ca="1">ROUND(C75/C39,3)</f>
        <v>#VALUE!</v>
      </c>
    </row>
    <row r="81" spans="2:3">
      <c r="B81" s="268" t="s">
        <v>1236</v>
      </c>
      <c r="C81" s="236"/>
    </row>
    <row r="82" spans="2:3">
      <c r="B82" s="271" t="s">
        <v>1237</v>
      </c>
      <c r="C82" s="273" t="e">
        <f ca="1">1-C83</f>
        <v>#VALUE!</v>
      </c>
    </row>
    <row r="83" spans="2:3">
      <c r="B83" s="271" t="s">
        <v>1238</v>
      </c>
      <c r="C83" s="272"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35" customHeight="1"/>
  <cols>
    <col min="1" max="1" width="9.5" style="2762" customWidth="1"/>
    <col min="2" max="2" width="8.875" style="2762"/>
    <col min="3" max="5" width="12.875" style="2762" customWidth="1"/>
    <col min="6" max="6" width="47.5" style="2762" customWidth="1"/>
    <col min="7" max="7" width="13" style="2756" customWidth="1"/>
    <col min="8" max="8" width="8.875" style="2756"/>
    <col min="9" max="9" width="8.875" style="2757"/>
    <col min="10" max="10" width="5.875" style="2916" customWidth="1"/>
    <col min="11" max="11" width="11.875" style="2916" customWidth="1"/>
    <col min="12" max="13" width="10.875" style="2916" customWidth="1"/>
    <col min="14" max="14" width="10" style="2916" customWidth="1"/>
    <col min="15" max="16" width="10.5" style="2916" bestFit="1" customWidth="1"/>
    <col min="17" max="17" width="10" style="2916" customWidth="1"/>
    <col min="18" max="18" width="10.125" style="2916" customWidth="1"/>
    <col min="19" max="19" width="10" style="2916" customWidth="1"/>
    <col min="20" max="20" width="26.125" style="2916" customWidth="1"/>
    <col min="21" max="21" width="8.875" style="2916"/>
    <col min="22" max="22" width="8.875" style="2757"/>
    <col min="23" max="256" width="8.875" style="2762"/>
    <col min="257" max="257" width="9.5" style="2762" customWidth="1"/>
    <col min="258" max="258" width="8.875" style="2762"/>
    <col min="259" max="261" width="12.875" style="2762" customWidth="1"/>
    <col min="262" max="262" width="47.5" style="2762" customWidth="1"/>
    <col min="263" max="263" width="13" style="2762" customWidth="1"/>
    <col min="264" max="265" width="8.875" style="2762"/>
    <col min="266" max="266" width="5.875" style="2762" customWidth="1"/>
    <col min="267" max="267" width="11.875" style="2762" customWidth="1"/>
    <col min="268" max="269" width="10.875" style="2762" customWidth="1"/>
    <col min="270" max="270" width="10" style="2762" customWidth="1"/>
    <col min="271" max="272" width="10.5" style="2762" bestFit="1" customWidth="1"/>
    <col min="273" max="273" width="10" style="2762" customWidth="1"/>
    <col min="274" max="274" width="10.125" style="2762" customWidth="1"/>
    <col min="275" max="275" width="10" style="2762" customWidth="1"/>
    <col min="276" max="276" width="26.125" style="2762" customWidth="1"/>
    <col min="277" max="512" width="8.875" style="2762"/>
    <col min="513" max="513" width="9.5" style="2762" customWidth="1"/>
    <col min="514" max="514" width="8.875" style="2762"/>
    <col min="515" max="517" width="12.875" style="2762" customWidth="1"/>
    <col min="518" max="518" width="47.5" style="2762" customWidth="1"/>
    <col min="519" max="519" width="13" style="2762" customWidth="1"/>
    <col min="520" max="521" width="8.875" style="2762"/>
    <col min="522" max="522" width="5.875" style="2762" customWidth="1"/>
    <col min="523" max="523" width="11.875" style="2762" customWidth="1"/>
    <col min="524" max="525" width="10.875" style="2762" customWidth="1"/>
    <col min="526" max="526" width="10" style="2762" customWidth="1"/>
    <col min="527" max="528" width="10.5" style="2762" bestFit="1" customWidth="1"/>
    <col min="529" max="529" width="10" style="2762" customWidth="1"/>
    <col min="530" max="530" width="10.125" style="2762" customWidth="1"/>
    <col min="531" max="531" width="10" style="2762" customWidth="1"/>
    <col min="532" max="532" width="26.125" style="2762" customWidth="1"/>
    <col min="533" max="768" width="8.875" style="2762"/>
    <col min="769" max="769" width="9.5" style="2762" customWidth="1"/>
    <col min="770" max="770" width="8.875" style="2762"/>
    <col min="771" max="773" width="12.875" style="2762" customWidth="1"/>
    <col min="774" max="774" width="47.5" style="2762" customWidth="1"/>
    <col min="775" max="775" width="13" style="2762" customWidth="1"/>
    <col min="776" max="777" width="8.875" style="2762"/>
    <col min="778" max="778" width="5.875" style="2762" customWidth="1"/>
    <col min="779" max="779" width="11.875" style="2762" customWidth="1"/>
    <col min="780" max="781" width="10.875" style="2762" customWidth="1"/>
    <col min="782" max="782" width="10" style="2762" customWidth="1"/>
    <col min="783" max="784" width="10.5" style="2762" bestFit="1" customWidth="1"/>
    <col min="785" max="785" width="10" style="2762" customWidth="1"/>
    <col min="786" max="786" width="10.125" style="2762" customWidth="1"/>
    <col min="787" max="787" width="10" style="2762" customWidth="1"/>
    <col min="788" max="788" width="26.125" style="2762" customWidth="1"/>
    <col min="789" max="1024" width="8.875" style="2762"/>
    <col min="1025" max="1025" width="9.5" style="2762" customWidth="1"/>
    <col min="1026" max="1026" width="8.875" style="2762"/>
    <col min="1027" max="1029" width="12.875" style="2762" customWidth="1"/>
    <col min="1030" max="1030" width="47.5" style="2762" customWidth="1"/>
    <col min="1031" max="1031" width="13" style="2762" customWidth="1"/>
    <col min="1032" max="1033" width="8.875" style="2762"/>
    <col min="1034" max="1034" width="5.875" style="2762" customWidth="1"/>
    <col min="1035" max="1035" width="11.875" style="2762" customWidth="1"/>
    <col min="1036" max="1037" width="10.875" style="2762" customWidth="1"/>
    <col min="1038" max="1038" width="10" style="2762" customWidth="1"/>
    <col min="1039" max="1040" width="10.5" style="2762" bestFit="1" customWidth="1"/>
    <col min="1041" max="1041" width="10" style="2762" customWidth="1"/>
    <col min="1042" max="1042" width="10.125" style="2762" customWidth="1"/>
    <col min="1043" max="1043" width="10" style="2762" customWidth="1"/>
    <col min="1044" max="1044" width="26.125" style="2762" customWidth="1"/>
    <col min="1045" max="1280" width="8.875" style="2762"/>
    <col min="1281" max="1281" width="9.5" style="2762" customWidth="1"/>
    <col min="1282" max="1282" width="8.875" style="2762"/>
    <col min="1283" max="1285" width="12.875" style="2762" customWidth="1"/>
    <col min="1286" max="1286" width="47.5" style="2762" customWidth="1"/>
    <col min="1287" max="1287" width="13" style="2762" customWidth="1"/>
    <col min="1288" max="1289" width="8.875" style="2762"/>
    <col min="1290" max="1290" width="5.875" style="2762" customWidth="1"/>
    <col min="1291" max="1291" width="11.875" style="2762" customWidth="1"/>
    <col min="1292" max="1293" width="10.875" style="2762" customWidth="1"/>
    <col min="1294" max="1294" width="10" style="2762" customWidth="1"/>
    <col min="1295" max="1296" width="10.5" style="2762" bestFit="1" customWidth="1"/>
    <col min="1297" max="1297" width="10" style="2762" customWidth="1"/>
    <col min="1298" max="1298" width="10.125" style="2762" customWidth="1"/>
    <col min="1299" max="1299" width="10" style="2762" customWidth="1"/>
    <col min="1300" max="1300" width="26.125" style="2762" customWidth="1"/>
    <col min="1301" max="1536" width="8.875" style="2762"/>
    <col min="1537" max="1537" width="9.5" style="2762" customWidth="1"/>
    <col min="1538" max="1538" width="8.875" style="2762"/>
    <col min="1539" max="1541" width="12.875" style="2762" customWidth="1"/>
    <col min="1542" max="1542" width="47.5" style="2762" customWidth="1"/>
    <col min="1543" max="1543" width="13" style="2762" customWidth="1"/>
    <col min="1544" max="1545" width="8.875" style="2762"/>
    <col min="1546" max="1546" width="5.875" style="2762" customWidth="1"/>
    <col min="1547" max="1547" width="11.875" style="2762" customWidth="1"/>
    <col min="1548" max="1549" width="10.875" style="2762" customWidth="1"/>
    <col min="1550" max="1550" width="10" style="2762" customWidth="1"/>
    <col min="1551" max="1552" width="10.5" style="2762" bestFit="1" customWidth="1"/>
    <col min="1553" max="1553" width="10" style="2762" customWidth="1"/>
    <col min="1554" max="1554" width="10.125" style="2762" customWidth="1"/>
    <col min="1555" max="1555" width="10" style="2762" customWidth="1"/>
    <col min="1556" max="1556" width="26.125" style="2762" customWidth="1"/>
    <col min="1557" max="1792" width="8.875" style="2762"/>
    <col min="1793" max="1793" width="9.5" style="2762" customWidth="1"/>
    <col min="1794" max="1794" width="8.875" style="2762"/>
    <col min="1795" max="1797" width="12.875" style="2762" customWidth="1"/>
    <col min="1798" max="1798" width="47.5" style="2762" customWidth="1"/>
    <col min="1799" max="1799" width="13" style="2762" customWidth="1"/>
    <col min="1800" max="1801" width="8.875" style="2762"/>
    <col min="1802" max="1802" width="5.875" style="2762" customWidth="1"/>
    <col min="1803" max="1803" width="11.875" style="2762" customWidth="1"/>
    <col min="1804" max="1805" width="10.875" style="2762" customWidth="1"/>
    <col min="1806" max="1806" width="10" style="2762" customWidth="1"/>
    <col min="1807" max="1808" width="10.5" style="2762" bestFit="1" customWidth="1"/>
    <col min="1809" max="1809" width="10" style="2762" customWidth="1"/>
    <col min="1810" max="1810" width="10.125" style="2762" customWidth="1"/>
    <col min="1811" max="1811" width="10" style="2762" customWidth="1"/>
    <col min="1812" max="1812" width="26.125" style="2762" customWidth="1"/>
    <col min="1813" max="2048" width="8.875" style="2762"/>
    <col min="2049" max="2049" width="9.5" style="2762" customWidth="1"/>
    <col min="2050" max="2050" width="8.875" style="2762"/>
    <col min="2051" max="2053" width="12.875" style="2762" customWidth="1"/>
    <col min="2054" max="2054" width="47.5" style="2762" customWidth="1"/>
    <col min="2055" max="2055" width="13" style="2762" customWidth="1"/>
    <col min="2056" max="2057" width="8.875" style="2762"/>
    <col min="2058" max="2058" width="5.875" style="2762" customWidth="1"/>
    <col min="2059" max="2059" width="11.875" style="2762" customWidth="1"/>
    <col min="2060" max="2061" width="10.875" style="2762" customWidth="1"/>
    <col min="2062" max="2062" width="10" style="2762" customWidth="1"/>
    <col min="2063" max="2064" width="10.5" style="2762" bestFit="1" customWidth="1"/>
    <col min="2065" max="2065" width="10" style="2762" customWidth="1"/>
    <col min="2066" max="2066" width="10.125" style="2762" customWidth="1"/>
    <col min="2067" max="2067" width="10" style="2762" customWidth="1"/>
    <col min="2068" max="2068" width="26.125" style="2762" customWidth="1"/>
    <col min="2069" max="2304" width="8.875" style="2762"/>
    <col min="2305" max="2305" width="9.5" style="2762" customWidth="1"/>
    <col min="2306" max="2306" width="8.875" style="2762"/>
    <col min="2307" max="2309" width="12.875" style="2762" customWidth="1"/>
    <col min="2310" max="2310" width="47.5" style="2762" customWidth="1"/>
    <col min="2311" max="2311" width="13" style="2762" customWidth="1"/>
    <col min="2312" max="2313" width="8.875" style="2762"/>
    <col min="2314" max="2314" width="5.875" style="2762" customWidth="1"/>
    <col min="2315" max="2315" width="11.875" style="2762" customWidth="1"/>
    <col min="2316" max="2317" width="10.875" style="2762" customWidth="1"/>
    <col min="2318" max="2318" width="10" style="2762" customWidth="1"/>
    <col min="2319" max="2320" width="10.5" style="2762" bestFit="1" customWidth="1"/>
    <col min="2321" max="2321" width="10" style="2762" customWidth="1"/>
    <col min="2322" max="2322" width="10.125" style="2762" customWidth="1"/>
    <col min="2323" max="2323" width="10" style="2762" customWidth="1"/>
    <col min="2324" max="2324" width="26.125" style="2762" customWidth="1"/>
    <col min="2325" max="2560" width="8.875" style="2762"/>
    <col min="2561" max="2561" width="9.5" style="2762" customWidth="1"/>
    <col min="2562" max="2562" width="8.875" style="2762"/>
    <col min="2563" max="2565" width="12.875" style="2762" customWidth="1"/>
    <col min="2566" max="2566" width="47.5" style="2762" customWidth="1"/>
    <col min="2567" max="2567" width="13" style="2762" customWidth="1"/>
    <col min="2568" max="2569" width="8.875" style="2762"/>
    <col min="2570" max="2570" width="5.875" style="2762" customWidth="1"/>
    <col min="2571" max="2571" width="11.875" style="2762" customWidth="1"/>
    <col min="2572" max="2573" width="10.875" style="2762" customWidth="1"/>
    <col min="2574" max="2574" width="10" style="2762" customWidth="1"/>
    <col min="2575" max="2576" width="10.5" style="2762" bestFit="1" customWidth="1"/>
    <col min="2577" max="2577" width="10" style="2762" customWidth="1"/>
    <col min="2578" max="2578" width="10.125" style="2762" customWidth="1"/>
    <col min="2579" max="2579" width="10" style="2762" customWidth="1"/>
    <col min="2580" max="2580" width="26.125" style="2762" customWidth="1"/>
    <col min="2581" max="2816" width="8.875" style="2762"/>
    <col min="2817" max="2817" width="9.5" style="2762" customWidth="1"/>
    <col min="2818" max="2818" width="8.875" style="2762"/>
    <col min="2819" max="2821" width="12.875" style="2762" customWidth="1"/>
    <col min="2822" max="2822" width="47.5" style="2762" customWidth="1"/>
    <col min="2823" max="2823" width="13" style="2762" customWidth="1"/>
    <col min="2824" max="2825" width="8.875" style="2762"/>
    <col min="2826" max="2826" width="5.875" style="2762" customWidth="1"/>
    <col min="2827" max="2827" width="11.875" style="2762" customWidth="1"/>
    <col min="2828" max="2829" width="10.875" style="2762" customWidth="1"/>
    <col min="2830" max="2830" width="10" style="2762" customWidth="1"/>
    <col min="2831" max="2832" width="10.5" style="2762" bestFit="1" customWidth="1"/>
    <col min="2833" max="2833" width="10" style="2762" customWidth="1"/>
    <col min="2834" max="2834" width="10.125" style="2762" customWidth="1"/>
    <col min="2835" max="2835" width="10" style="2762" customWidth="1"/>
    <col min="2836" max="2836" width="26.125" style="2762" customWidth="1"/>
    <col min="2837" max="3072" width="8.875" style="2762"/>
    <col min="3073" max="3073" width="9.5" style="2762" customWidth="1"/>
    <col min="3074" max="3074" width="8.875" style="2762"/>
    <col min="3075" max="3077" width="12.875" style="2762" customWidth="1"/>
    <col min="3078" max="3078" width="47.5" style="2762" customWidth="1"/>
    <col min="3079" max="3079" width="13" style="2762" customWidth="1"/>
    <col min="3080" max="3081" width="8.875" style="2762"/>
    <col min="3082" max="3082" width="5.875" style="2762" customWidth="1"/>
    <col min="3083" max="3083" width="11.875" style="2762" customWidth="1"/>
    <col min="3084" max="3085" width="10.875" style="2762" customWidth="1"/>
    <col min="3086" max="3086" width="10" style="2762" customWidth="1"/>
    <col min="3087" max="3088" width="10.5" style="2762" bestFit="1" customWidth="1"/>
    <col min="3089" max="3089" width="10" style="2762" customWidth="1"/>
    <col min="3090" max="3090" width="10.125" style="2762" customWidth="1"/>
    <col min="3091" max="3091" width="10" style="2762" customWidth="1"/>
    <col min="3092" max="3092" width="26.125" style="2762" customWidth="1"/>
    <col min="3093" max="3328" width="8.875" style="2762"/>
    <col min="3329" max="3329" width="9.5" style="2762" customWidth="1"/>
    <col min="3330" max="3330" width="8.875" style="2762"/>
    <col min="3331" max="3333" width="12.875" style="2762" customWidth="1"/>
    <col min="3334" max="3334" width="47.5" style="2762" customWidth="1"/>
    <col min="3335" max="3335" width="13" style="2762" customWidth="1"/>
    <col min="3336" max="3337" width="8.875" style="2762"/>
    <col min="3338" max="3338" width="5.875" style="2762" customWidth="1"/>
    <col min="3339" max="3339" width="11.875" style="2762" customWidth="1"/>
    <col min="3340" max="3341" width="10.875" style="2762" customWidth="1"/>
    <col min="3342" max="3342" width="10" style="2762" customWidth="1"/>
    <col min="3343" max="3344" width="10.5" style="2762" bestFit="1" customWidth="1"/>
    <col min="3345" max="3345" width="10" style="2762" customWidth="1"/>
    <col min="3346" max="3346" width="10.125" style="2762" customWidth="1"/>
    <col min="3347" max="3347" width="10" style="2762" customWidth="1"/>
    <col min="3348" max="3348" width="26.125" style="2762" customWidth="1"/>
    <col min="3349" max="3584" width="8.875" style="2762"/>
    <col min="3585" max="3585" width="9.5" style="2762" customWidth="1"/>
    <col min="3586" max="3586" width="8.875" style="2762"/>
    <col min="3587" max="3589" width="12.875" style="2762" customWidth="1"/>
    <col min="3590" max="3590" width="47.5" style="2762" customWidth="1"/>
    <col min="3591" max="3591" width="13" style="2762" customWidth="1"/>
    <col min="3592" max="3593" width="8.875" style="2762"/>
    <col min="3594" max="3594" width="5.875" style="2762" customWidth="1"/>
    <col min="3595" max="3595" width="11.875" style="2762" customWidth="1"/>
    <col min="3596" max="3597" width="10.875" style="2762" customWidth="1"/>
    <col min="3598" max="3598" width="10" style="2762" customWidth="1"/>
    <col min="3599" max="3600" width="10.5" style="2762" bestFit="1" customWidth="1"/>
    <col min="3601" max="3601" width="10" style="2762" customWidth="1"/>
    <col min="3602" max="3602" width="10.125" style="2762" customWidth="1"/>
    <col min="3603" max="3603" width="10" style="2762" customWidth="1"/>
    <col min="3604" max="3604" width="26.125" style="2762" customWidth="1"/>
    <col min="3605" max="3840" width="8.875" style="2762"/>
    <col min="3841" max="3841" width="9.5" style="2762" customWidth="1"/>
    <col min="3842" max="3842" width="8.875" style="2762"/>
    <col min="3843" max="3845" width="12.875" style="2762" customWidth="1"/>
    <col min="3846" max="3846" width="47.5" style="2762" customWidth="1"/>
    <col min="3847" max="3847" width="13" style="2762" customWidth="1"/>
    <col min="3848" max="3849" width="8.875" style="2762"/>
    <col min="3850" max="3850" width="5.875" style="2762" customWidth="1"/>
    <col min="3851" max="3851" width="11.875" style="2762" customWidth="1"/>
    <col min="3852" max="3853" width="10.875" style="2762" customWidth="1"/>
    <col min="3854" max="3854" width="10" style="2762" customWidth="1"/>
    <col min="3855" max="3856" width="10.5" style="2762" bestFit="1" customWidth="1"/>
    <col min="3857" max="3857" width="10" style="2762" customWidth="1"/>
    <col min="3858" max="3858" width="10.125" style="2762" customWidth="1"/>
    <col min="3859" max="3859" width="10" style="2762" customWidth="1"/>
    <col min="3860" max="3860" width="26.125" style="2762" customWidth="1"/>
    <col min="3861" max="4096" width="8.875" style="2762"/>
    <col min="4097" max="4097" width="9.5" style="2762" customWidth="1"/>
    <col min="4098" max="4098" width="8.875" style="2762"/>
    <col min="4099" max="4101" width="12.875" style="2762" customWidth="1"/>
    <col min="4102" max="4102" width="47.5" style="2762" customWidth="1"/>
    <col min="4103" max="4103" width="13" style="2762" customWidth="1"/>
    <col min="4104" max="4105" width="8.875" style="2762"/>
    <col min="4106" max="4106" width="5.875" style="2762" customWidth="1"/>
    <col min="4107" max="4107" width="11.875" style="2762" customWidth="1"/>
    <col min="4108" max="4109" width="10.875" style="2762" customWidth="1"/>
    <col min="4110" max="4110" width="10" style="2762" customWidth="1"/>
    <col min="4111" max="4112" width="10.5" style="2762" bestFit="1" customWidth="1"/>
    <col min="4113" max="4113" width="10" style="2762" customWidth="1"/>
    <col min="4114" max="4114" width="10.125" style="2762" customWidth="1"/>
    <col min="4115" max="4115" width="10" style="2762" customWidth="1"/>
    <col min="4116" max="4116" width="26.125" style="2762" customWidth="1"/>
    <col min="4117" max="4352" width="8.875" style="2762"/>
    <col min="4353" max="4353" width="9.5" style="2762" customWidth="1"/>
    <col min="4354" max="4354" width="8.875" style="2762"/>
    <col min="4355" max="4357" width="12.875" style="2762" customWidth="1"/>
    <col min="4358" max="4358" width="47.5" style="2762" customWidth="1"/>
    <col min="4359" max="4359" width="13" style="2762" customWidth="1"/>
    <col min="4360" max="4361" width="8.875" style="2762"/>
    <col min="4362" max="4362" width="5.875" style="2762" customWidth="1"/>
    <col min="4363" max="4363" width="11.875" style="2762" customWidth="1"/>
    <col min="4364" max="4365" width="10.875" style="2762" customWidth="1"/>
    <col min="4366" max="4366" width="10" style="2762" customWidth="1"/>
    <col min="4367" max="4368" width="10.5" style="2762" bestFit="1" customWidth="1"/>
    <col min="4369" max="4369" width="10" style="2762" customWidth="1"/>
    <col min="4370" max="4370" width="10.125" style="2762" customWidth="1"/>
    <col min="4371" max="4371" width="10" style="2762" customWidth="1"/>
    <col min="4372" max="4372" width="26.125" style="2762" customWidth="1"/>
    <col min="4373" max="4608" width="8.875" style="2762"/>
    <col min="4609" max="4609" width="9.5" style="2762" customWidth="1"/>
    <col min="4610" max="4610" width="8.875" style="2762"/>
    <col min="4611" max="4613" width="12.875" style="2762" customWidth="1"/>
    <col min="4614" max="4614" width="47.5" style="2762" customWidth="1"/>
    <col min="4615" max="4615" width="13" style="2762" customWidth="1"/>
    <col min="4616" max="4617" width="8.875" style="2762"/>
    <col min="4618" max="4618" width="5.875" style="2762" customWidth="1"/>
    <col min="4619" max="4619" width="11.875" style="2762" customWidth="1"/>
    <col min="4620" max="4621" width="10.875" style="2762" customWidth="1"/>
    <col min="4622" max="4622" width="10" style="2762" customWidth="1"/>
    <col min="4623" max="4624" width="10.5" style="2762" bestFit="1" customWidth="1"/>
    <col min="4625" max="4625" width="10" style="2762" customWidth="1"/>
    <col min="4626" max="4626" width="10.125" style="2762" customWidth="1"/>
    <col min="4627" max="4627" width="10" style="2762" customWidth="1"/>
    <col min="4628" max="4628" width="26.125" style="2762" customWidth="1"/>
    <col min="4629" max="4864" width="8.875" style="2762"/>
    <col min="4865" max="4865" width="9.5" style="2762" customWidth="1"/>
    <col min="4866" max="4866" width="8.875" style="2762"/>
    <col min="4867" max="4869" width="12.875" style="2762" customWidth="1"/>
    <col min="4870" max="4870" width="47.5" style="2762" customWidth="1"/>
    <col min="4871" max="4871" width="13" style="2762" customWidth="1"/>
    <col min="4872" max="4873" width="8.875" style="2762"/>
    <col min="4874" max="4874" width="5.875" style="2762" customWidth="1"/>
    <col min="4875" max="4875" width="11.875" style="2762" customWidth="1"/>
    <col min="4876" max="4877" width="10.875" style="2762" customWidth="1"/>
    <col min="4878" max="4878" width="10" style="2762" customWidth="1"/>
    <col min="4879" max="4880" width="10.5" style="2762" bestFit="1" customWidth="1"/>
    <col min="4881" max="4881" width="10" style="2762" customWidth="1"/>
    <col min="4882" max="4882" width="10.125" style="2762" customWidth="1"/>
    <col min="4883" max="4883" width="10" style="2762" customWidth="1"/>
    <col min="4884" max="4884" width="26.125" style="2762" customWidth="1"/>
    <col min="4885" max="5120" width="8.875" style="2762"/>
    <col min="5121" max="5121" width="9.5" style="2762" customWidth="1"/>
    <col min="5122" max="5122" width="8.875" style="2762"/>
    <col min="5123" max="5125" width="12.875" style="2762" customWidth="1"/>
    <col min="5126" max="5126" width="47.5" style="2762" customWidth="1"/>
    <col min="5127" max="5127" width="13" style="2762" customWidth="1"/>
    <col min="5128" max="5129" width="8.875" style="2762"/>
    <col min="5130" max="5130" width="5.875" style="2762" customWidth="1"/>
    <col min="5131" max="5131" width="11.875" style="2762" customWidth="1"/>
    <col min="5132" max="5133" width="10.875" style="2762" customWidth="1"/>
    <col min="5134" max="5134" width="10" style="2762" customWidth="1"/>
    <col min="5135" max="5136" width="10.5" style="2762" bestFit="1" customWidth="1"/>
    <col min="5137" max="5137" width="10" style="2762" customWidth="1"/>
    <col min="5138" max="5138" width="10.125" style="2762" customWidth="1"/>
    <col min="5139" max="5139" width="10" style="2762" customWidth="1"/>
    <col min="5140" max="5140" width="26.125" style="2762" customWidth="1"/>
    <col min="5141" max="5376" width="8.875" style="2762"/>
    <col min="5377" max="5377" width="9.5" style="2762" customWidth="1"/>
    <col min="5378" max="5378" width="8.875" style="2762"/>
    <col min="5379" max="5381" width="12.875" style="2762" customWidth="1"/>
    <col min="5382" max="5382" width="47.5" style="2762" customWidth="1"/>
    <col min="5383" max="5383" width="13" style="2762" customWidth="1"/>
    <col min="5384" max="5385" width="8.875" style="2762"/>
    <col min="5386" max="5386" width="5.875" style="2762" customWidth="1"/>
    <col min="5387" max="5387" width="11.875" style="2762" customWidth="1"/>
    <col min="5388" max="5389" width="10.875" style="2762" customWidth="1"/>
    <col min="5390" max="5390" width="10" style="2762" customWidth="1"/>
    <col min="5391" max="5392" width="10.5" style="2762" bestFit="1" customWidth="1"/>
    <col min="5393" max="5393" width="10" style="2762" customWidth="1"/>
    <col min="5394" max="5394" width="10.125" style="2762" customWidth="1"/>
    <col min="5395" max="5395" width="10" style="2762" customWidth="1"/>
    <col min="5396" max="5396" width="26.125" style="2762" customWidth="1"/>
    <col min="5397" max="5632" width="8.875" style="2762"/>
    <col min="5633" max="5633" width="9.5" style="2762" customWidth="1"/>
    <col min="5634" max="5634" width="8.875" style="2762"/>
    <col min="5635" max="5637" width="12.875" style="2762" customWidth="1"/>
    <col min="5638" max="5638" width="47.5" style="2762" customWidth="1"/>
    <col min="5639" max="5639" width="13" style="2762" customWidth="1"/>
    <col min="5640" max="5641" width="8.875" style="2762"/>
    <col min="5642" max="5642" width="5.875" style="2762" customWidth="1"/>
    <col min="5643" max="5643" width="11.875" style="2762" customWidth="1"/>
    <col min="5644" max="5645" width="10.875" style="2762" customWidth="1"/>
    <col min="5646" max="5646" width="10" style="2762" customWidth="1"/>
    <col min="5647" max="5648" width="10.5" style="2762" bestFit="1" customWidth="1"/>
    <col min="5649" max="5649" width="10" style="2762" customWidth="1"/>
    <col min="5650" max="5650" width="10.125" style="2762" customWidth="1"/>
    <col min="5651" max="5651" width="10" style="2762" customWidth="1"/>
    <col min="5652" max="5652" width="26.125" style="2762" customWidth="1"/>
    <col min="5653" max="5888" width="8.875" style="2762"/>
    <col min="5889" max="5889" width="9.5" style="2762" customWidth="1"/>
    <col min="5890" max="5890" width="8.875" style="2762"/>
    <col min="5891" max="5893" width="12.875" style="2762" customWidth="1"/>
    <col min="5894" max="5894" width="47.5" style="2762" customWidth="1"/>
    <col min="5895" max="5895" width="13" style="2762" customWidth="1"/>
    <col min="5896" max="5897" width="8.875" style="2762"/>
    <col min="5898" max="5898" width="5.875" style="2762" customWidth="1"/>
    <col min="5899" max="5899" width="11.875" style="2762" customWidth="1"/>
    <col min="5900" max="5901" width="10.875" style="2762" customWidth="1"/>
    <col min="5902" max="5902" width="10" style="2762" customWidth="1"/>
    <col min="5903" max="5904" width="10.5" style="2762" bestFit="1" customWidth="1"/>
    <col min="5905" max="5905" width="10" style="2762" customWidth="1"/>
    <col min="5906" max="5906" width="10.125" style="2762" customWidth="1"/>
    <col min="5907" max="5907" width="10" style="2762" customWidth="1"/>
    <col min="5908" max="5908" width="26.125" style="2762" customWidth="1"/>
    <col min="5909" max="6144" width="8.875" style="2762"/>
    <col min="6145" max="6145" width="9.5" style="2762" customWidth="1"/>
    <col min="6146" max="6146" width="8.875" style="2762"/>
    <col min="6147" max="6149" width="12.875" style="2762" customWidth="1"/>
    <col min="6150" max="6150" width="47.5" style="2762" customWidth="1"/>
    <col min="6151" max="6151" width="13" style="2762" customWidth="1"/>
    <col min="6152" max="6153" width="8.875" style="2762"/>
    <col min="6154" max="6154" width="5.875" style="2762" customWidth="1"/>
    <col min="6155" max="6155" width="11.875" style="2762" customWidth="1"/>
    <col min="6156" max="6157" width="10.875" style="2762" customWidth="1"/>
    <col min="6158" max="6158" width="10" style="2762" customWidth="1"/>
    <col min="6159" max="6160" width="10.5" style="2762" bestFit="1" customWidth="1"/>
    <col min="6161" max="6161" width="10" style="2762" customWidth="1"/>
    <col min="6162" max="6162" width="10.125" style="2762" customWidth="1"/>
    <col min="6163" max="6163" width="10" style="2762" customWidth="1"/>
    <col min="6164" max="6164" width="26.125" style="2762" customWidth="1"/>
    <col min="6165" max="6400" width="8.875" style="2762"/>
    <col min="6401" max="6401" width="9.5" style="2762" customWidth="1"/>
    <col min="6402" max="6402" width="8.875" style="2762"/>
    <col min="6403" max="6405" width="12.875" style="2762" customWidth="1"/>
    <col min="6406" max="6406" width="47.5" style="2762" customWidth="1"/>
    <col min="6407" max="6407" width="13" style="2762" customWidth="1"/>
    <col min="6408" max="6409" width="8.875" style="2762"/>
    <col min="6410" max="6410" width="5.875" style="2762" customWidth="1"/>
    <col min="6411" max="6411" width="11.875" style="2762" customWidth="1"/>
    <col min="6412" max="6413" width="10.875" style="2762" customWidth="1"/>
    <col min="6414" max="6414" width="10" style="2762" customWidth="1"/>
    <col min="6415" max="6416" width="10.5" style="2762" bestFit="1" customWidth="1"/>
    <col min="6417" max="6417" width="10" style="2762" customWidth="1"/>
    <col min="6418" max="6418" width="10.125" style="2762" customWidth="1"/>
    <col min="6419" max="6419" width="10" style="2762" customWidth="1"/>
    <col min="6420" max="6420" width="26.125" style="2762" customWidth="1"/>
    <col min="6421" max="6656" width="8.875" style="2762"/>
    <col min="6657" max="6657" width="9.5" style="2762" customWidth="1"/>
    <col min="6658" max="6658" width="8.875" style="2762"/>
    <col min="6659" max="6661" width="12.875" style="2762" customWidth="1"/>
    <col min="6662" max="6662" width="47.5" style="2762" customWidth="1"/>
    <col min="6663" max="6663" width="13" style="2762" customWidth="1"/>
    <col min="6664" max="6665" width="8.875" style="2762"/>
    <col min="6666" max="6666" width="5.875" style="2762" customWidth="1"/>
    <col min="6667" max="6667" width="11.875" style="2762" customWidth="1"/>
    <col min="6668" max="6669" width="10.875" style="2762" customWidth="1"/>
    <col min="6670" max="6670" width="10" style="2762" customWidth="1"/>
    <col min="6671" max="6672" width="10.5" style="2762" bestFit="1" customWidth="1"/>
    <col min="6673" max="6673" width="10" style="2762" customWidth="1"/>
    <col min="6674" max="6674" width="10.125" style="2762" customWidth="1"/>
    <col min="6675" max="6675" width="10" style="2762" customWidth="1"/>
    <col min="6676" max="6676" width="26.125" style="2762" customWidth="1"/>
    <col min="6677" max="6912" width="8.875" style="2762"/>
    <col min="6913" max="6913" width="9.5" style="2762" customWidth="1"/>
    <col min="6914" max="6914" width="8.875" style="2762"/>
    <col min="6915" max="6917" width="12.875" style="2762" customWidth="1"/>
    <col min="6918" max="6918" width="47.5" style="2762" customWidth="1"/>
    <col min="6919" max="6919" width="13" style="2762" customWidth="1"/>
    <col min="6920" max="6921" width="8.875" style="2762"/>
    <col min="6922" max="6922" width="5.875" style="2762" customWidth="1"/>
    <col min="6923" max="6923" width="11.875" style="2762" customWidth="1"/>
    <col min="6924" max="6925" width="10.875" style="2762" customWidth="1"/>
    <col min="6926" max="6926" width="10" style="2762" customWidth="1"/>
    <col min="6927" max="6928" width="10.5" style="2762" bestFit="1" customWidth="1"/>
    <col min="6929" max="6929" width="10" style="2762" customWidth="1"/>
    <col min="6930" max="6930" width="10.125" style="2762" customWidth="1"/>
    <col min="6931" max="6931" width="10" style="2762" customWidth="1"/>
    <col min="6932" max="6932" width="26.125" style="2762" customWidth="1"/>
    <col min="6933" max="7168" width="8.875" style="2762"/>
    <col min="7169" max="7169" width="9.5" style="2762" customWidth="1"/>
    <col min="7170" max="7170" width="8.875" style="2762"/>
    <col min="7171" max="7173" width="12.875" style="2762" customWidth="1"/>
    <col min="7174" max="7174" width="47.5" style="2762" customWidth="1"/>
    <col min="7175" max="7175" width="13" style="2762" customWidth="1"/>
    <col min="7176" max="7177" width="8.875" style="2762"/>
    <col min="7178" max="7178" width="5.875" style="2762" customWidth="1"/>
    <col min="7179" max="7179" width="11.875" style="2762" customWidth="1"/>
    <col min="7180" max="7181" width="10.875" style="2762" customWidth="1"/>
    <col min="7182" max="7182" width="10" style="2762" customWidth="1"/>
    <col min="7183" max="7184" width="10.5" style="2762" bestFit="1" customWidth="1"/>
    <col min="7185" max="7185" width="10" style="2762" customWidth="1"/>
    <col min="7186" max="7186" width="10.125" style="2762" customWidth="1"/>
    <col min="7187" max="7187" width="10" style="2762" customWidth="1"/>
    <col min="7188" max="7188" width="26.125" style="2762" customWidth="1"/>
    <col min="7189" max="7424" width="8.875" style="2762"/>
    <col min="7425" max="7425" width="9.5" style="2762" customWidth="1"/>
    <col min="7426" max="7426" width="8.875" style="2762"/>
    <col min="7427" max="7429" width="12.875" style="2762" customWidth="1"/>
    <col min="7430" max="7430" width="47.5" style="2762" customWidth="1"/>
    <col min="7431" max="7431" width="13" style="2762" customWidth="1"/>
    <col min="7432" max="7433" width="8.875" style="2762"/>
    <col min="7434" max="7434" width="5.875" style="2762" customWidth="1"/>
    <col min="7435" max="7435" width="11.875" style="2762" customWidth="1"/>
    <col min="7436" max="7437" width="10.875" style="2762" customWidth="1"/>
    <col min="7438" max="7438" width="10" style="2762" customWidth="1"/>
    <col min="7439" max="7440" width="10.5" style="2762" bestFit="1" customWidth="1"/>
    <col min="7441" max="7441" width="10" style="2762" customWidth="1"/>
    <col min="7442" max="7442" width="10.125" style="2762" customWidth="1"/>
    <col min="7443" max="7443" width="10" style="2762" customWidth="1"/>
    <col min="7444" max="7444" width="26.125" style="2762" customWidth="1"/>
    <col min="7445" max="7680" width="8.875" style="2762"/>
    <col min="7681" max="7681" width="9.5" style="2762" customWidth="1"/>
    <col min="7682" max="7682" width="8.875" style="2762"/>
    <col min="7683" max="7685" width="12.875" style="2762" customWidth="1"/>
    <col min="7686" max="7686" width="47.5" style="2762" customWidth="1"/>
    <col min="7687" max="7687" width="13" style="2762" customWidth="1"/>
    <col min="7688" max="7689" width="8.875" style="2762"/>
    <col min="7690" max="7690" width="5.875" style="2762" customWidth="1"/>
    <col min="7691" max="7691" width="11.875" style="2762" customWidth="1"/>
    <col min="7692" max="7693" width="10.875" style="2762" customWidth="1"/>
    <col min="7694" max="7694" width="10" style="2762" customWidth="1"/>
    <col min="7695" max="7696" width="10.5" style="2762" bestFit="1" customWidth="1"/>
    <col min="7697" max="7697" width="10" style="2762" customWidth="1"/>
    <col min="7698" max="7698" width="10.125" style="2762" customWidth="1"/>
    <col min="7699" max="7699" width="10" style="2762" customWidth="1"/>
    <col min="7700" max="7700" width="26.125" style="2762" customWidth="1"/>
    <col min="7701" max="7936" width="8.875" style="2762"/>
    <col min="7937" max="7937" width="9.5" style="2762" customWidth="1"/>
    <col min="7938" max="7938" width="8.875" style="2762"/>
    <col min="7939" max="7941" width="12.875" style="2762" customWidth="1"/>
    <col min="7942" max="7942" width="47.5" style="2762" customWidth="1"/>
    <col min="7943" max="7943" width="13" style="2762" customWidth="1"/>
    <col min="7944" max="7945" width="8.875" style="2762"/>
    <col min="7946" max="7946" width="5.875" style="2762" customWidth="1"/>
    <col min="7947" max="7947" width="11.875" style="2762" customWidth="1"/>
    <col min="7948" max="7949" width="10.875" style="2762" customWidth="1"/>
    <col min="7950" max="7950" width="10" style="2762" customWidth="1"/>
    <col min="7951" max="7952" width="10.5" style="2762" bestFit="1" customWidth="1"/>
    <col min="7953" max="7953" width="10" style="2762" customWidth="1"/>
    <col min="7954" max="7954" width="10.125" style="2762" customWidth="1"/>
    <col min="7955" max="7955" width="10" style="2762" customWidth="1"/>
    <col min="7956" max="7956" width="26.125" style="2762" customWidth="1"/>
    <col min="7957" max="8192" width="8.875" style="2762"/>
    <col min="8193" max="8193" width="9.5" style="2762" customWidth="1"/>
    <col min="8194" max="8194" width="8.875" style="2762"/>
    <col min="8195" max="8197" width="12.875" style="2762" customWidth="1"/>
    <col min="8198" max="8198" width="47.5" style="2762" customWidth="1"/>
    <col min="8199" max="8199" width="13" style="2762" customWidth="1"/>
    <col min="8200" max="8201" width="8.875" style="2762"/>
    <col min="8202" max="8202" width="5.875" style="2762" customWidth="1"/>
    <col min="8203" max="8203" width="11.875" style="2762" customWidth="1"/>
    <col min="8204" max="8205" width="10.875" style="2762" customWidth="1"/>
    <col min="8206" max="8206" width="10" style="2762" customWidth="1"/>
    <col min="8207" max="8208" width="10.5" style="2762" bestFit="1" customWidth="1"/>
    <col min="8209" max="8209" width="10" style="2762" customWidth="1"/>
    <col min="8210" max="8210" width="10.125" style="2762" customWidth="1"/>
    <col min="8211" max="8211" width="10" style="2762" customWidth="1"/>
    <col min="8212" max="8212" width="26.125" style="2762" customWidth="1"/>
    <col min="8213" max="8448" width="8.875" style="2762"/>
    <col min="8449" max="8449" width="9.5" style="2762" customWidth="1"/>
    <col min="8450" max="8450" width="8.875" style="2762"/>
    <col min="8451" max="8453" width="12.875" style="2762" customWidth="1"/>
    <col min="8454" max="8454" width="47.5" style="2762" customWidth="1"/>
    <col min="8455" max="8455" width="13" style="2762" customWidth="1"/>
    <col min="8456" max="8457" width="8.875" style="2762"/>
    <col min="8458" max="8458" width="5.875" style="2762" customWidth="1"/>
    <col min="8459" max="8459" width="11.875" style="2762" customWidth="1"/>
    <col min="8460" max="8461" width="10.875" style="2762" customWidth="1"/>
    <col min="8462" max="8462" width="10" style="2762" customWidth="1"/>
    <col min="8463" max="8464" width="10.5" style="2762" bestFit="1" customWidth="1"/>
    <col min="8465" max="8465" width="10" style="2762" customWidth="1"/>
    <col min="8466" max="8466" width="10.125" style="2762" customWidth="1"/>
    <col min="8467" max="8467" width="10" style="2762" customWidth="1"/>
    <col min="8468" max="8468" width="26.125" style="2762" customWidth="1"/>
    <col min="8469" max="8704" width="8.875" style="2762"/>
    <col min="8705" max="8705" width="9.5" style="2762" customWidth="1"/>
    <col min="8706" max="8706" width="8.875" style="2762"/>
    <col min="8707" max="8709" width="12.875" style="2762" customWidth="1"/>
    <col min="8710" max="8710" width="47.5" style="2762" customWidth="1"/>
    <col min="8711" max="8711" width="13" style="2762" customWidth="1"/>
    <col min="8712" max="8713" width="8.875" style="2762"/>
    <col min="8714" max="8714" width="5.875" style="2762" customWidth="1"/>
    <col min="8715" max="8715" width="11.875" style="2762" customWidth="1"/>
    <col min="8716" max="8717" width="10.875" style="2762" customWidth="1"/>
    <col min="8718" max="8718" width="10" style="2762" customWidth="1"/>
    <col min="8719" max="8720" width="10.5" style="2762" bestFit="1" customWidth="1"/>
    <col min="8721" max="8721" width="10" style="2762" customWidth="1"/>
    <col min="8722" max="8722" width="10.125" style="2762" customWidth="1"/>
    <col min="8723" max="8723" width="10" style="2762" customWidth="1"/>
    <col min="8724" max="8724" width="26.125" style="2762" customWidth="1"/>
    <col min="8725" max="8960" width="8.875" style="2762"/>
    <col min="8961" max="8961" width="9.5" style="2762" customWidth="1"/>
    <col min="8962" max="8962" width="8.875" style="2762"/>
    <col min="8963" max="8965" width="12.875" style="2762" customWidth="1"/>
    <col min="8966" max="8966" width="47.5" style="2762" customWidth="1"/>
    <col min="8967" max="8967" width="13" style="2762" customWidth="1"/>
    <col min="8968" max="8969" width="8.875" style="2762"/>
    <col min="8970" max="8970" width="5.875" style="2762" customWidth="1"/>
    <col min="8971" max="8971" width="11.875" style="2762" customWidth="1"/>
    <col min="8972" max="8973" width="10.875" style="2762" customWidth="1"/>
    <col min="8974" max="8974" width="10" style="2762" customWidth="1"/>
    <col min="8975" max="8976" width="10.5" style="2762" bestFit="1" customWidth="1"/>
    <col min="8977" max="8977" width="10" style="2762" customWidth="1"/>
    <col min="8978" max="8978" width="10.125" style="2762" customWidth="1"/>
    <col min="8979" max="8979" width="10" style="2762" customWidth="1"/>
    <col min="8980" max="8980" width="26.125" style="2762" customWidth="1"/>
    <col min="8981" max="9216" width="8.875" style="2762"/>
    <col min="9217" max="9217" width="9.5" style="2762" customWidth="1"/>
    <col min="9218" max="9218" width="8.875" style="2762"/>
    <col min="9219" max="9221" width="12.875" style="2762" customWidth="1"/>
    <col min="9222" max="9222" width="47.5" style="2762" customWidth="1"/>
    <col min="9223" max="9223" width="13" style="2762" customWidth="1"/>
    <col min="9224" max="9225" width="8.875" style="2762"/>
    <col min="9226" max="9226" width="5.875" style="2762" customWidth="1"/>
    <col min="9227" max="9227" width="11.875" style="2762" customWidth="1"/>
    <col min="9228" max="9229" width="10.875" style="2762" customWidth="1"/>
    <col min="9230" max="9230" width="10" style="2762" customWidth="1"/>
    <col min="9231" max="9232" width="10.5" style="2762" bestFit="1" customWidth="1"/>
    <col min="9233" max="9233" width="10" style="2762" customWidth="1"/>
    <col min="9234" max="9234" width="10.125" style="2762" customWidth="1"/>
    <col min="9235" max="9235" width="10" style="2762" customWidth="1"/>
    <col min="9236" max="9236" width="26.125" style="2762" customWidth="1"/>
    <col min="9237" max="9472" width="8.875" style="2762"/>
    <col min="9473" max="9473" width="9.5" style="2762" customWidth="1"/>
    <col min="9474" max="9474" width="8.875" style="2762"/>
    <col min="9475" max="9477" width="12.875" style="2762" customWidth="1"/>
    <col min="9478" max="9478" width="47.5" style="2762" customWidth="1"/>
    <col min="9479" max="9479" width="13" style="2762" customWidth="1"/>
    <col min="9480" max="9481" width="8.875" style="2762"/>
    <col min="9482" max="9482" width="5.875" style="2762" customWidth="1"/>
    <col min="9483" max="9483" width="11.875" style="2762" customWidth="1"/>
    <col min="9484" max="9485" width="10.875" style="2762" customWidth="1"/>
    <col min="9486" max="9486" width="10" style="2762" customWidth="1"/>
    <col min="9487" max="9488" width="10.5" style="2762" bestFit="1" customWidth="1"/>
    <col min="9489" max="9489" width="10" style="2762" customWidth="1"/>
    <col min="9490" max="9490" width="10.125" style="2762" customWidth="1"/>
    <col min="9491" max="9491" width="10" style="2762" customWidth="1"/>
    <col min="9492" max="9492" width="26.125" style="2762" customWidth="1"/>
    <col min="9493" max="9728" width="8.875" style="2762"/>
    <col min="9729" max="9729" width="9.5" style="2762" customWidth="1"/>
    <col min="9730" max="9730" width="8.875" style="2762"/>
    <col min="9731" max="9733" width="12.875" style="2762" customWidth="1"/>
    <col min="9734" max="9734" width="47.5" style="2762" customWidth="1"/>
    <col min="9735" max="9735" width="13" style="2762" customWidth="1"/>
    <col min="9736" max="9737" width="8.875" style="2762"/>
    <col min="9738" max="9738" width="5.875" style="2762" customWidth="1"/>
    <col min="9739" max="9739" width="11.875" style="2762" customWidth="1"/>
    <col min="9740" max="9741" width="10.875" style="2762" customWidth="1"/>
    <col min="9742" max="9742" width="10" style="2762" customWidth="1"/>
    <col min="9743" max="9744" width="10.5" style="2762" bestFit="1" customWidth="1"/>
    <col min="9745" max="9745" width="10" style="2762" customWidth="1"/>
    <col min="9746" max="9746" width="10.125" style="2762" customWidth="1"/>
    <col min="9747" max="9747" width="10" style="2762" customWidth="1"/>
    <col min="9748" max="9748" width="26.125" style="2762" customWidth="1"/>
    <col min="9749" max="9984" width="8.875" style="2762"/>
    <col min="9985" max="9985" width="9.5" style="2762" customWidth="1"/>
    <col min="9986" max="9986" width="8.875" style="2762"/>
    <col min="9987" max="9989" width="12.875" style="2762" customWidth="1"/>
    <col min="9990" max="9990" width="47.5" style="2762" customWidth="1"/>
    <col min="9991" max="9991" width="13" style="2762" customWidth="1"/>
    <col min="9992" max="9993" width="8.875" style="2762"/>
    <col min="9994" max="9994" width="5.875" style="2762" customWidth="1"/>
    <col min="9995" max="9995" width="11.875" style="2762" customWidth="1"/>
    <col min="9996" max="9997" width="10.875" style="2762" customWidth="1"/>
    <col min="9998" max="9998" width="10" style="2762" customWidth="1"/>
    <col min="9999" max="10000" width="10.5" style="2762" bestFit="1" customWidth="1"/>
    <col min="10001" max="10001" width="10" style="2762" customWidth="1"/>
    <col min="10002" max="10002" width="10.125" style="2762" customWidth="1"/>
    <col min="10003" max="10003" width="10" style="2762" customWidth="1"/>
    <col min="10004" max="10004" width="26.125" style="2762" customWidth="1"/>
    <col min="10005" max="10240" width="8.875" style="2762"/>
    <col min="10241" max="10241" width="9.5" style="2762" customWidth="1"/>
    <col min="10242" max="10242" width="8.875" style="2762"/>
    <col min="10243" max="10245" width="12.875" style="2762" customWidth="1"/>
    <col min="10246" max="10246" width="47.5" style="2762" customWidth="1"/>
    <col min="10247" max="10247" width="13" style="2762" customWidth="1"/>
    <col min="10248" max="10249" width="8.875" style="2762"/>
    <col min="10250" max="10250" width="5.875" style="2762" customWidth="1"/>
    <col min="10251" max="10251" width="11.875" style="2762" customWidth="1"/>
    <col min="10252" max="10253" width="10.875" style="2762" customWidth="1"/>
    <col min="10254" max="10254" width="10" style="2762" customWidth="1"/>
    <col min="10255" max="10256" width="10.5" style="2762" bestFit="1" customWidth="1"/>
    <col min="10257" max="10257" width="10" style="2762" customWidth="1"/>
    <col min="10258" max="10258" width="10.125" style="2762" customWidth="1"/>
    <col min="10259" max="10259" width="10" style="2762" customWidth="1"/>
    <col min="10260" max="10260" width="26.125" style="2762" customWidth="1"/>
    <col min="10261" max="10496" width="8.875" style="2762"/>
    <col min="10497" max="10497" width="9.5" style="2762" customWidth="1"/>
    <col min="10498" max="10498" width="8.875" style="2762"/>
    <col min="10499" max="10501" width="12.875" style="2762" customWidth="1"/>
    <col min="10502" max="10502" width="47.5" style="2762" customWidth="1"/>
    <col min="10503" max="10503" width="13" style="2762" customWidth="1"/>
    <col min="10504" max="10505" width="8.875" style="2762"/>
    <col min="10506" max="10506" width="5.875" style="2762" customWidth="1"/>
    <col min="10507" max="10507" width="11.875" style="2762" customWidth="1"/>
    <col min="10508" max="10509" width="10.875" style="2762" customWidth="1"/>
    <col min="10510" max="10510" width="10" style="2762" customWidth="1"/>
    <col min="10511" max="10512" width="10.5" style="2762" bestFit="1" customWidth="1"/>
    <col min="10513" max="10513" width="10" style="2762" customWidth="1"/>
    <col min="10514" max="10514" width="10.125" style="2762" customWidth="1"/>
    <col min="10515" max="10515" width="10" style="2762" customWidth="1"/>
    <col min="10516" max="10516" width="26.125" style="2762" customWidth="1"/>
    <col min="10517" max="10752" width="8.875" style="2762"/>
    <col min="10753" max="10753" width="9.5" style="2762" customWidth="1"/>
    <col min="10754" max="10754" width="8.875" style="2762"/>
    <col min="10755" max="10757" width="12.875" style="2762" customWidth="1"/>
    <col min="10758" max="10758" width="47.5" style="2762" customWidth="1"/>
    <col min="10759" max="10759" width="13" style="2762" customWidth="1"/>
    <col min="10760" max="10761" width="8.875" style="2762"/>
    <col min="10762" max="10762" width="5.875" style="2762" customWidth="1"/>
    <col min="10763" max="10763" width="11.875" style="2762" customWidth="1"/>
    <col min="10764" max="10765" width="10.875" style="2762" customWidth="1"/>
    <col min="10766" max="10766" width="10" style="2762" customWidth="1"/>
    <col min="10767" max="10768" width="10.5" style="2762" bestFit="1" customWidth="1"/>
    <col min="10769" max="10769" width="10" style="2762" customWidth="1"/>
    <col min="10770" max="10770" width="10.125" style="2762" customWidth="1"/>
    <col min="10771" max="10771" width="10" style="2762" customWidth="1"/>
    <col min="10772" max="10772" width="26.125" style="2762" customWidth="1"/>
    <col min="10773" max="11008" width="8.875" style="2762"/>
    <col min="11009" max="11009" width="9.5" style="2762" customWidth="1"/>
    <col min="11010" max="11010" width="8.875" style="2762"/>
    <col min="11011" max="11013" width="12.875" style="2762" customWidth="1"/>
    <col min="11014" max="11014" width="47.5" style="2762" customWidth="1"/>
    <col min="11015" max="11015" width="13" style="2762" customWidth="1"/>
    <col min="11016" max="11017" width="8.875" style="2762"/>
    <col min="11018" max="11018" width="5.875" style="2762" customWidth="1"/>
    <col min="11019" max="11019" width="11.875" style="2762" customWidth="1"/>
    <col min="11020" max="11021" width="10.875" style="2762" customWidth="1"/>
    <col min="11022" max="11022" width="10" style="2762" customWidth="1"/>
    <col min="11023" max="11024" width="10.5" style="2762" bestFit="1" customWidth="1"/>
    <col min="11025" max="11025" width="10" style="2762" customWidth="1"/>
    <col min="11026" max="11026" width="10.125" style="2762" customWidth="1"/>
    <col min="11027" max="11027" width="10" style="2762" customWidth="1"/>
    <col min="11028" max="11028" width="26.125" style="2762" customWidth="1"/>
    <col min="11029" max="11264" width="8.875" style="2762"/>
    <col min="11265" max="11265" width="9.5" style="2762" customWidth="1"/>
    <col min="11266" max="11266" width="8.875" style="2762"/>
    <col min="11267" max="11269" width="12.875" style="2762" customWidth="1"/>
    <col min="11270" max="11270" width="47.5" style="2762" customWidth="1"/>
    <col min="11271" max="11271" width="13" style="2762" customWidth="1"/>
    <col min="11272" max="11273" width="8.875" style="2762"/>
    <col min="11274" max="11274" width="5.875" style="2762" customWidth="1"/>
    <col min="11275" max="11275" width="11.875" style="2762" customWidth="1"/>
    <col min="11276" max="11277" width="10.875" style="2762" customWidth="1"/>
    <col min="11278" max="11278" width="10" style="2762" customWidth="1"/>
    <col min="11279" max="11280" width="10.5" style="2762" bestFit="1" customWidth="1"/>
    <col min="11281" max="11281" width="10" style="2762" customWidth="1"/>
    <col min="11282" max="11282" width="10.125" style="2762" customWidth="1"/>
    <col min="11283" max="11283" width="10" style="2762" customWidth="1"/>
    <col min="11284" max="11284" width="26.125" style="2762" customWidth="1"/>
    <col min="11285" max="11520" width="8.875" style="2762"/>
    <col min="11521" max="11521" width="9.5" style="2762" customWidth="1"/>
    <col min="11522" max="11522" width="8.875" style="2762"/>
    <col min="11523" max="11525" width="12.875" style="2762" customWidth="1"/>
    <col min="11526" max="11526" width="47.5" style="2762" customWidth="1"/>
    <col min="11527" max="11527" width="13" style="2762" customWidth="1"/>
    <col min="11528" max="11529" width="8.875" style="2762"/>
    <col min="11530" max="11530" width="5.875" style="2762" customWidth="1"/>
    <col min="11531" max="11531" width="11.875" style="2762" customWidth="1"/>
    <col min="11532" max="11533" width="10.875" style="2762" customWidth="1"/>
    <col min="11534" max="11534" width="10" style="2762" customWidth="1"/>
    <col min="11535" max="11536" width="10.5" style="2762" bestFit="1" customWidth="1"/>
    <col min="11537" max="11537" width="10" style="2762" customWidth="1"/>
    <col min="11538" max="11538" width="10.125" style="2762" customWidth="1"/>
    <col min="11539" max="11539" width="10" style="2762" customWidth="1"/>
    <col min="11540" max="11540" width="26.125" style="2762" customWidth="1"/>
    <col min="11541" max="11776" width="8.875" style="2762"/>
    <col min="11777" max="11777" width="9.5" style="2762" customWidth="1"/>
    <col min="11778" max="11778" width="8.875" style="2762"/>
    <col min="11779" max="11781" width="12.875" style="2762" customWidth="1"/>
    <col min="11782" max="11782" width="47.5" style="2762" customWidth="1"/>
    <col min="11783" max="11783" width="13" style="2762" customWidth="1"/>
    <col min="11784" max="11785" width="8.875" style="2762"/>
    <col min="11786" max="11786" width="5.875" style="2762" customWidth="1"/>
    <col min="11787" max="11787" width="11.875" style="2762" customWidth="1"/>
    <col min="11788" max="11789" width="10.875" style="2762" customWidth="1"/>
    <col min="11790" max="11790" width="10" style="2762" customWidth="1"/>
    <col min="11791" max="11792" width="10.5" style="2762" bestFit="1" customWidth="1"/>
    <col min="11793" max="11793" width="10" style="2762" customWidth="1"/>
    <col min="11794" max="11794" width="10.125" style="2762" customWidth="1"/>
    <col min="11795" max="11795" width="10" style="2762" customWidth="1"/>
    <col min="11796" max="11796" width="26.125" style="2762" customWidth="1"/>
    <col min="11797" max="12032" width="8.875" style="2762"/>
    <col min="12033" max="12033" width="9.5" style="2762" customWidth="1"/>
    <col min="12034" max="12034" width="8.875" style="2762"/>
    <col min="12035" max="12037" width="12.875" style="2762" customWidth="1"/>
    <col min="12038" max="12038" width="47.5" style="2762" customWidth="1"/>
    <col min="12039" max="12039" width="13" style="2762" customWidth="1"/>
    <col min="12040" max="12041" width="8.875" style="2762"/>
    <col min="12042" max="12042" width="5.875" style="2762" customWidth="1"/>
    <col min="12043" max="12043" width="11.875" style="2762" customWidth="1"/>
    <col min="12044" max="12045" width="10.875" style="2762" customWidth="1"/>
    <col min="12046" max="12046" width="10" style="2762" customWidth="1"/>
    <col min="12047" max="12048" width="10.5" style="2762" bestFit="1" customWidth="1"/>
    <col min="12049" max="12049" width="10" style="2762" customWidth="1"/>
    <col min="12050" max="12050" width="10.125" style="2762" customWidth="1"/>
    <col min="12051" max="12051" width="10" style="2762" customWidth="1"/>
    <col min="12052" max="12052" width="26.125" style="2762" customWidth="1"/>
    <col min="12053" max="12288" width="8.875" style="2762"/>
    <col min="12289" max="12289" width="9.5" style="2762" customWidth="1"/>
    <col min="12290" max="12290" width="8.875" style="2762"/>
    <col min="12291" max="12293" width="12.875" style="2762" customWidth="1"/>
    <col min="12294" max="12294" width="47.5" style="2762" customWidth="1"/>
    <col min="12295" max="12295" width="13" style="2762" customWidth="1"/>
    <col min="12296" max="12297" width="8.875" style="2762"/>
    <col min="12298" max="12298" width="5.875" style="2762" customWidth="1"/>
    <col min="12299" max="12299" width="11.875" style="2762" customWidth="1"/>
    <col min="12300" max="12301" width="10.875" style="2762" customWidth="1"/>
    <col min="12302" max="12302" width="10" style="2762" customWidth="1"/>
    <col min="12303" max="12304" width="10.5" style="2762" bestFit="1" customWidth="1"/>
    <col min="12305" max="12305" width="10" style="2762" customWidth="1"/>
    <col min="12306" max="12306" width="10.125" style="2762" customWidth="1"/>
    <col min="12307" max="12307" width="10" style="2762" customWidth="1"/>
    <col min="12308" max="12308" width="26.125" style="2762" customWidth="1"/>
    <col min="12309" max="12544" width="8.875" style="2762"/>
    <col min="12545" max="12545" width="9.5" style="2762" customWidth="1"/>
    <col min="12546" max="12546" width="8.875" style="2762"/>
    <col min="12547" max="12549" width="12.875" style="2762" customWidth="1"/>
    <col min="12550" max="12550" width="47.5" style="2762" customWidth="1"/>
    <col min="12551" max="12551" width="13" style="2762" customWidth="1"/>
    <col min="12552" max="12553" width="8.875" style="2762"/>
    <col min="12554" max="12554" width="5.875" style="2762" customWidth="1"/>
    <col min="12555" max="12555" width="11.875" style="2762" customWidth="1"/>
    <col min="12556" max="12557" width="10.875" style="2762" customWidth="1"/>
    <col min="12558" max="12558" width="10" style="2762" customWidth="1"/>
    <col min="12559" max="12560" width="10.5" style="2762" bestFit="1" customWidth="1"/>
    <col min="12561" max="12561" width="10" style="2762" customWidth="1"/>
    <col min="12562" max="12562" width="10.125" style="2762" customWidth="1"/>
    <col min="12563" max="12563" width="10" style="2762" customWidth="1"/>
    <col min="12564" max="12564" width="26.125" style="2762" customWidth="1"/>
    <col min="12565" max="12800" width="8.875" style="2762"/>
    <col min="12801" max="12801" width="9.5" style="2762" customWidth="1"/>
    <col min="12802" max="12802" width="8.875" style="2762"/>
    <col min="12803" max="12805" width="12.875" style="2762" customWidth="1"/>
    <col min="12806" max="12806" width="47.5" style="2762" customWidth="1"/>
    <col min="12807" max="12807" width="13" style="2762" customWidth="1"/>
    <col min="12808" max="12809" width="8.875" style="2762"/>
    <col min="12810" max="12810" width="5.875" style="2762" customWidth="1"/>
    <col min="12811" max="12811" width="11.875" style="2762" customWidth="1"/>
    <col min="12812" max="12813" width="10.875" style="2762" customWidth="1"/>
    <col min="12814" max="12814" width="10" style="2762" customWidth="1"/>
    <col min="12815" max="12816" width="10.5" style="2762" bestFit="1" customWidth="1"/>
    <col min="12817" max="12817" width="10" style="2762" customWidth="1"/>
    <col min="12818" max="12818" width="10.125" style="2762" customWidth="1"/>
    <col min="12819" max="12819" width="10" style="2762" customWidth="1"/>
    <col min="12820" max="12820" width="26.125" style="2762" customWidth="1"/>
    <col min="12821" max="13056" width="8.875" style="2762"/>
    <col min="13057" max="13057" width="9.5" style="2762" customWidth="1"/>
    <col min="13058" max="13058" width="8.875" style="2762"/>
    <col min="13059" max="13061" width="12.875" style="2762" customWidth="1"/>
    <col min="13062" max="13062" width="47.5" style="2762" customWidth="1"/>
    <col min="13063" max="13063" width="13" style="2762" customWidth="1"/>
    <col min="13064" max="13065" width="8.875" style="2762"/>
    <col min="13066" max="13066" width="5.875" style="2762" customWidth="1"/>
    <col min="13067" max="13067" width="11.875" style="2762" customWidth="1"/>
    <col min="13068" max="13069" width="10.875" style="2762" customWidth="1"/>
    <col min="13070" max="13070" width="10" style="2762" customWidth="1"/>
    <col min="13071" max="13072" width="10.5" style="2762" bestFit="1" customWidth="1"/>
    <col min="13073" max="13073" width="10" style="2762" customWidth="1"/>
    <col min="13074" max="13074" width="10.125" style="2762" customWidth="1"/>
    <col min="13075" max="13075" width="10" style="2762" customWidth="1"/>
    <col min="13076" max="13076" width="26.125" style="2762" customWidth="1"/>
    <col min="13077" max="13312" width="8.875" style="2762"/>
    <col min="13313" max="13313" width="9.5" style="2762" customWidth="1"/>
    <col min="13314" max="13314" width="8.875" style="2762"/>
    <col min="13315" max="13317" width="12.875" style="2762" customWidth="1"/>
    <col min="13318" max="13318" width="47.5" style="2762" customWidth="1"/>
    <col min="13319" max="13319" width="13" style="2762" customWidth="1"/>
    <col min="13320" max="13321" width="8.875" style="2762"/>
    <col min="13322" max="13322" width="5.875" style="2762" customWidth="1"/>
    <col min="13323" max="13323" width="11.875" style="2762" customWidth="1"/>
    <col min="13324" max="13325" width="10.875" style="2762" customWidth="1"/>
    <col min="13326" max="13326" width="10" style="2762" customWidth="1"/>
    <col min="13327" max="13328" width="10.5" style="2762" bestFit="1" customWidth="1"/>
    <col min="13329" max="13329" width="10" style="2762" customWidth="1"/>
    <col min="13330" max="13330" width="10.125" style="2762" customWidth="1"/>
    <col min="13331" max="13331" width="10" style="2762" customWidth="1"/>
    <col min="13332" max="13332" width="26.125" style="2762" customWidth="1"/>
    <col min="13333" max="13568" width="8.875" style="2762"/>
    <col min="13569" max="13569" width="9.5" style="2762" customWidth="1"/>
    <col min="13570" max="13570" width="8.875" style="2762"/>
    <col min="13571" max="13573" width="12.875" style="2762" customWidth="1"/>
    <col min="13574" max="13574" width="47.5" style="2762" customWidth="1"/>
    <col min="13575" max="13575" width="13" style="2762" customWidth="1"/>
    <col min="13576" max="13577" width="8.875" style="2762"/>
    <col min="13578" max="13578" width="5.875" style="2762" customWidth="1"/>
    <col min="13579" max="13579" width="11.875" style="2762" customWidth="1"/>
    <col min="13580" max="13581" width="10.875" style="2762" customWidth="1"/>
    <col min="13582" max="13582" width="10" style="2762" customWidth="1"/>
    <col min="13583" max="13584" width="10.5" style="2762" bestFit="1" customWidth="1"/>
    <col min="13585" max="13585" width="10" style="2762" customWidth="1"/>
    <col min="13586" max="13586" width="10.125" style="2762" customWidth="1"/>
    <col min="13587" max="13587" width="10" style="2762" customWidth="1"/>
    <col min="13588" max="13588" width="26.125" style="2762" customWidth="1"/>
    <col min="13589" max="13824" width="8.875" style="2762"/>
    <col min="13825" max="13825" width="9.5" style="2762" customWidth="1"/>
    <col min="13826" max="13826" width="8.875" style="2762"/>
    <col min="13827" max="13829" width="12.875" style="2762" customWidth="1"/>
    <col min="13830" max="13830" width="47.5" style="2762" customWidth="1"/>
    <col min="13831" max="13831" width="13" style="2762" customWidth="1"/>
    <col min="13832" max="13833" width="8.875" style="2762"/>
    <col min="13834" max="13834" width="5.875" style="2762" customWidth="1"/>
    <col min="13835" max="13835" width="11.875" style="2762" customWidth="1"/>
    <col min="13836" max="13837" width="10.875" style="2762" customWidth="1"/>
    <col min="13838" max="13838" width="10" style="2762" customWidth="1"/>
    <col min="13839" max="13840" width="10.5" style="2762" bestFit="1" customWidth="1"/>
    <col min="13841" max="13841" width="10" style="2762" customWidth="1"/>
    <col min="13842" max="13842" width="10.125" style="2762" customWidth="1"/>
    <col min="13843" max="13843" width="10" style="2762" customWidth="1"/>
    <col min="13844" max="13844" width="26.125" style="2762" customWidth="1"/>
    <col min="13845" max="14080" width="8.875" style="2762"/>
    <col min="14081" max="14081" width="9.5" style="2762" customWidth="1"/>
    <col min="14082" max="14082" width="8.875" style="2762"/>
    <col min="14083" max="14085" width="12.875" style="2762" customWidth="1"/>
    <col min="14086" max="14086" width="47.5" style="2762" customWidth="1"/>
    <col min="14087" max="14087" width="13" style="2762" customWidth="1"/>
    <col min="14088" max="14089" width="8.875" style="2762"/>
    <col min="14090" max="14090" width="5.875" style="2762" customWidth="1"/>
    <col min="14091" max="14091" width="11.875" style="2762" customWidth="1"/>
    <col min="14092" max="14093" width="10.875" style="2762" customWidth="1"/>
    <col min="14094" max="14094" width="10" style="2762" customWidth="1"/>
    <col min="14095" max="14096" width="10.5" style="2762" bestFit="1" customWidth="1"/>
    <col min="14097" max="14097" width="10" style="2762" customWidth="1"/>
    <col min="14098" max="14098" width="10.125" style="2762" customWidth="1"/>
    <col min="14099" max="14099" width="10" style="2762" customWidth="1"/>
    <col min="14100" max="14100" width="26.125" style="2762" customWidth="1"/>
    <col min="14101" max="14336" width="8.875" style="2762"/>
    <col min="14337" max="14337" width="9.5" style="2762" customWidth="1"/>
    <col min="14338" max="14338" width="8.875" style="2762"/>
    <col min="14339" max="14341" width="12.875" style="2762" customWidth="1"/>
    <col min="14342" max="14342" width="47.5" style="2762" customWidth="1"/>
    <col min="14343" max="14343" width="13" style="2762" customWidth="1"/>
    <col min="14344" max="14345" width="8.875" style="2762"/>
    <col min="14346" max="14346" width="5.875" style="2762" customWidth="1"/>
    <col min="14347" max="14347" width="11.875" style="2762" customWidth="1"/>
    <col min="14348" max="14349" width="10.875" style="2762" customWidth="1"/>
    <col min="14350" max="14350" width="10" style="2762" customWidth="1"/>
    <col min="14351" max="14352" width="10.5" style="2762" bestFit="1" customWidth="1"/>
    <col min="14353" max="14353" width="10" style="2762" customWidth="1"/>
    <col min="14354" max="14354" width="10.125" style="2762" customWidth="1"/>
    <col min="14355" max="14355" width="10" style="2762" customWidth="1"/>
    <col min="14356" max="14356" width="26.125" style="2762" customWidth="1"/>
    <col min="14357" max="14592" width="8.875" style="2762"/>
    <col min="14593" max="14593" width="9.5" style="2762" customWidth="1"/>
    <col min="14594" max="14594" width="8.875" style="2762"/>
    <col min="14595" max="14597" width="12.875" style="2762" customWidth="1"/>
    <col min="14598" max="14598" width="47.5" style="2762" customWidth="1"/>
    <col min="14599" max="14599" width="13" style="2762" customWidth="1"/>
    <col min="14600" max="14601" width="8.875" style="2762"/>
    <col min="14602" max="14602" width="5.875" style="2762" customWidth="1"/>
    <col min="14603" max="14603" width="11.875" style="2762" customWidth="1"/>
    <col min="14604" max="14605" width="10.875" style="2762" customWidth="1"/>
    <col min="14606" max="14606" width="10" style="2762" customWidth="1"/>
    <col min="14607" max="14608" width="10.5" style="2762" bestFit="1" customWidth="1"/>
    <col min="14609" max="14609" width="10" style="2762" customWidth="1"/>
    <col min="14610" max="14610" width="10.125" style="2762" customWidth="1"/>
    <col min="14611" max="14611" width="10" style="2762" customWidth="1"/>
    <col min="14612" max="14612" width="26.125" style="2762" customWidth="1"/>
    <col min="14613" max="14848" width="8.875" style="2762"/>
    <col min="14849" max="14849" width="9.5" style="2762" customWidth="1"/>
    <col min="14850" max="14850" width="8.875" style="2762"/>
    <col min="14851" max="14853" width="12.875" style="2762" customWidth="1"/>
    <col min="14854" max="14854" width="47.5" style="2762" customWidth="1"/>
    <col min="14855" max="14855" width="13" style="2762" customWidth="1"/>
    <col min="14856" max="14857" width="8.875" style="2762"/>
    <col min="14858" max="14858" width="5.875" style="2762" customWidth="1"/>
    <col min="14859" max="14859" width="11.875" style="2762" customWidth="1"/>
    <col min="14860" max="14861" width="10.875" style="2762" customWidth="1"/>
    <col min="14862" max="14862" width="10" style="2762" customWidth="1"/>
    <col min="14863" max="14864" width="10.5" style="2762" bestFit="1" customWidth="1"/>
    <col min="14865" max="14865" width="10" style="2762" customWidth="1"/>
    <col min="14866" max="14866" width="10.125" style="2762" customWidth="1"/>
    <col min="14867" max="14867" width="10" style="2762" customWidth="1"/>
    <col min="14868" max="14868" width="26.125" style="2762" customWidth="1"/>
    <col min="14869" max="15104" width="8.875" style="2762"/>
    <col min="15105" max="15105" width="9.5" style="2762" customWidth="1"/>
    <col min="15106" max="15106" width="8.875" style="2762"/>
    <col min="15107" max="15109" width="12.875" style="2762" customWidth="1"/>
    <col min="15110" max="15110" width="47.5" style="2762" customWidth="1"/>
    <col min="15111" max="15111" width="13" style="2762" customWidth="1"/>
    <col min="15112" max="15113" width="8.875" style="2762"/>
    <col min="15114" max="15114" width="5.875" style="2762" customWidth="1"/>
    <col min="15115" max="15115" width="11.875" style="2762" customWidth="1"/>
    <col min="15116" max="15117" width="10.875" style="2762" customWidth="1"/>
    <col min="15118" max="15118" width="10" style="2762" customWidth="1"/>
    <col min="15119" max="15120" width="10.5" style="2762" bestFit="1" customWidth="1"/>
    <col min="15121" max="15121" width="10" style="2762" customWidth="1"/>
    <col min="15122" max="15122" width="10.125" style="2762" customWidth="1"/>
    <col min="15123" max="15123" width="10" style="2762" customWidth="1"/>
    <col min="15124" max="15124" width="26.125" style="2762" customWidth="1"/>
    <col min="15125" max="15360" width="8.875" style="2762"/>
    <col min="15361" max="15361" width="9.5" style="2762" customWidth="1"/>
    <col min="15362" max="15362" width="8.875" style="2762"/>
    <col min="15363" max="15365" width="12.875" style="2762" customWidth="1"/>
    <col min="15366" max="15366" width="47.5" style="2762" customWidth="1"/>
    <col min="15367" max="15367" width="13" style="2762" customWidth="1"/>
    <col min="15368" max="15369" width="8.875" style="2762"/>
    <col min="15370" max="15370" width="5.875" style="2762" customWidth="1"/>
    <col min="15371" max="15371" width="11.875" style="2762" customWidth="1"/>
    <col min="15372" max="15373" width="10.875" style="2762" customWidth="1"/>
    <col min="15374" max="15374" width="10" style="2762" customWidth="1"/>
    <col min="15375" max="15376" width="10.5" style="2762" bestFit="1" customWidth="1"/>
    <col min="15377" max="15377" width="10" style="2762" customWidth="1"/>
    <col min="15378" max="15378" width="10.125" style="2762" customWidth="1"/>
    <col min="15379" max="15379" width="10" style="2762" customWidth="1"/>
    <col min="15380" max="15380" width="26.125" style="2762" customWidth="1"/>
    <col min="15381" max="15616" width="8.875" style="2762"/>
    <col min="15617" max="15617" width="9.5" style="2762" customWidth="1"/>
    <col min="15618" max="15618" width="8.875" style="2762"/>
    <col min="15619" max="15621" width="12.875" style="2762" customWidth="1"/>
    <col min="15622" max="15622" width="47.5" style="2762" customWidth="1"/>
    <col min="15623" max="15623" width="13" style="2762" customWidth="1"/>
    <col min="15624" max="15625" width="8.875" style="2762"/>
    <col min="15626" max="15626" width="5.875" style="2762" customWidth="1"/>
    <col min="15627" max="15627" width="11.875" style="2762" customWidth="1"/>
    <col min="15628" max="15629" width="10.875" style="2762" customWidth="1"/>
    <col min="15630" max="15630" width="10" style="2762" customWidth="1"/>
    <col min="15631" max="15632" width="10.5" style="2762" bestFit="1" customWidth="1"/>
    <col min="15633" max="15633" width="10" style="2762" customWidth="1"/>
    <col min="15634" max="15634" width="10.125" style="2762" customWidth="1"/>
    <col min="15635" max="15635" width="10" style="2762" customWidth="1"/>
    <col min="15636" max="15636" width="26.125" style="2762" customWidth="1"/>
    <col min="15637" max="15872" width="8.875" style="2762"/>
    <col min="15873" max="15873" width="9.5" style="2762" customWidth="1"/>
    <col min="15874" max="15874" width="8.875" style="2762"/>
    <col min="15875" max="15877" width="12.875" style="2762" customWidth="1"/>
    <col min="15878" max="15878" width="47.5" style="2762" customWidth="1"/>
    <col min="15879" max="15879" width="13" style="2762" customWidth="1"/>
    <col min="15880" max="15881" width="8.875" style="2762"/>
    <col min="15882" max="15882" width="5.875" style="2762" customWidth="1"/>
    <col min="15883" max="15883" width="11.875" style="2762" customWidth="1"/>
    <col min="15884" max="15885" width="10.875" style="2762" customWidth="1"/>
    <col min="15886" max="15886" width="10" style="2762" customWidth="1"/>
    <col min="15887" max="15888" width="10.5" style="2762" bestFit="1" customWidth="1"/>
    <col min="15889" max="15889" width="10" style="2762" customWidth="1"/>
    <col min="15890" max="15890" width="10.125" style="2762" customWidth="1"/>
    <col min="15891" max="15891" width="10" style="2762" customWidth="1"/>
    <col min="15892" max="15892" width="26.125" style="2762" customWidth="1"/>
    <col min="15893" max="16128" width="8.875" style="2762"/>
    <col min="16129" max="16129" width="9.5" style="2762" customWidth="1"/>
    <col min="16130" max="16130" width="8.875" style="2762"/>
    <col min="16131" max="16133" width="12.875" style="2762" customWidth="1"/>
    <col min="16134" max="16134" width="47.5" style="2762" customWidth="1"/>
    <col min="16135" max="16135" width="13" style="2762" customWidth="1"/>
    <col min="16136" max="16137" width="8.875" style="2762"/>
    <col min="16138" max="16138" width="5.875" style="2762" customWidth="1"/>
    <col min="16139" max="16139" width="11.875" style="2762" customWidth="1"/>
    <col min="16140" max="16141" width="10.875" style="2762" customWidth="1"/>
    <col min="16142" max="16142" width="10" style="2762" customWidth="1"/>
    <col min="16143" max="16144" width="10.5" style="2762" bestFit="1" customWidth="1"/>
    <col min="16145" max="16145" width="10" style="2762" customWidth="1"/>
    <col min="16146" max="16146" width="10.125" style="2762" customWidth="1"/>
    <col min="16147" max="16147" width="10" style="2762" customWidth="1"/>
    <col min="16148" max="16148" width="26.125" style="2762" customWidth="1"/>
    <col min="16149" max="16384" width="8.875" style="2762"/>
  </cols>
  <sheetData>
    <row r="1" spans="1:22" ht="21" customHeight="1">
      <c r="A1" s="2751" t="s">
        <v>2942</v>
      </c>
      <c r="B1" s="2752"/>
      <c r="C1" s="2764"/>
      <c r="D1" s="2764"/>
      <c r="E1" s="2753"/>
      <c r="F1" s="2754"/>
      <c r="G1" s="2755"/>
      <c r="J1" s="2758" t="s">
        <v>2821</v>
      </c>
      <c r="K1" s="2759"/>
      <c r="L1" s="2759"/>
      <c r="M1" s="2759"/>
      <c r="N1" s="2759"/>
      <c r="O1" s="2759"/>
      <c r="P1" s="2759"/>
      <c r="Q1" s="2759"/>
      <c r="R1" s="2760"/>
      <c r="S1" s="2761"/>
      <c r="T1" s="2761"/>
      <c r="U1" s="2761"/>
    </row>
    <row r="2" spans="1:22" s="2773" customFormat="1" ht="13.35" customHeight="1">
      <c r="A2" s="1422" t="s">
        <v>2822</v>
      </c>
      <c r="B2" s="2763" t="e">
        <f>C40</f>
        <v>#DIV/0!</v>
      </c>
      <c r="C2" s="2764" t="s">
        <v>2823</v>
      </c>
      <c r="D2" s="2764"/>
      <c r="E2" s="2765"/>
      <c r="F2" s="2766"/>
      <c r="G2" s="2767"/>
      <c r="H2" s="2768"/>
      <c r="I2" s="2769"/>
      <c r="J2" s="3191" t="s">
        <v>2824</v>
      </c>
      <c r="K2" s="3192"/>
      <c r="L2" s="2770" t="s">
        <v>2825</v>
      </c>
      <c r="M2" s="2770" t="s">
        <v>2826</v>
      </c>
      <c r="N2" s="2770" t="s">
        <v>2827</v>
      </c>
      <c r="O2" s="2770" t="s">
        <v>2828</v>
      </c>
      <c r="P2" s="2770" t="s">
        <v>2829</v>
      </c>
      <c r="Q2" s="2771" t="s">
        <v>2830</v>
      </c>
      <c r="R2" s="2772" t="s">
        <v>2831</v>
      </c>
      <c r="S2" s="2761"/>
      <c r="T2" s="2761"/>
      <c r="U2" s="2761"/>
      <c r="V2" s="2769"/>
    </row>
    <row r="3" spans="1:22" s="2773" customFormat="1" ht="13.35" customHeight="1">
      <c r="A3" s="2774" t="s">
        <v>2832</v>
      </c>
      <c r="B3" s="2775" t="e">
        <f>ROUND(B2*10000/B4,0)</f>
        <v>#DIV/0!</v>
      </c>
      <c r="C3" s="2764" t="s">
        <v>2833</v>
      </c>
      <c r="D3" s="2764"/>
      <c r="E3" s="2765"/>
      <c r="F3" s="2766"/>
      <c r="G3" s="2767"/>
      <c r="H3" s="2768"/>
      <c r="I3" s="2769"/>
      <c r="J3" s="3193" t="s">
        <v>2834</v>
      </c>
      <c r="K3" s="3194"/>
      <c r="L3" s="2776"/>
      <c r="M3" s="2776"/>
      <c r="N3" s="2776"/>
      <c r="O3" s="2776"/>
      <c r="P3" s="2776"/>
      <c r="Q3" s="2777"/>
      <c r="R3" s="2778">
        <f>SUM(L3:Q3)</f>
        <v>0</v>
      </c>
      <c r="S3" s="2761"/>
      <c r="T3" s="2761"/>
      <c r="U3" s="2761"/>
      <c r="V3" s="2769"/>
    </row>
    <row r="4" spans="1:22" s="2773" customFormat="1" ht="13.35" customHeight="1">
      <c r="A4" s="2779" t="s">
        <v>2835</v>
      </c>
      <c r="B4" s="2780"/>
      <c r="C4" s="2764"/>
      <c r="D4" s="2764"/>
      <c r="E4" s="2765"/>
      <c r="F4" s="2766"/>
      <c r="G4" s="2767"/>
      <c r="H4" s="2768"/>
      <c r="I4" s="2769"/>
      <c r="J4" s="3193" t="s">
        <v>2836</v>
      </c>
      <c r="K4" s="3194"/>
      <c r="L4" s="2781"/>
      <c r="M4" s="2781"/>
      <c r="N4" s="2781"/>
      <c r="O4" s="2781"/>
      <c r="P4" s="2781"/>
      <c r="Q4" s="2782"/>
      <c r="R4" s="2783">
        <f>SUM(L4:Q4)</f>
        <v>0</v>
      </c>
      <c r="S4" s="2761"/>
      <c r="T4" s="2761"/>
      <c r="U4" s="2761"/>
      <c r="V4" s="2769"/>
    </row>
    <row r="5" spans="1:22" s="2773" customFormat="1" ht="13.35" customHeight="1" thickBot="1">
      <c r="A5" s="2784" t="s">
        <v>2837</v>
      </c>
      <c r="B5" s="2785"/>
      <c r="C5" s="2764"/>
      <c r="D5" s="2786"/>
      <c r="E5" s="2766"/>
      <c r="F5" s="2766"/>
      <c r="G5" s="2767"/>
      <c r="H5" s="2768"/>
      <c r="I5" s="2769"/>
      <c r="J5" s="2787" t="s">
        <v>2838</v>
      </c>
      <c r="K5" s="2788"/>
      <c r="L5" s="2788"/>
      <c r="M5" s="2789"/>
      <c r="N5" s="2789"/>
      <c r="O5" s="2789"/>
      <c r="P5" s="2789"/>
      <c r="Q5" s="2789"/>
      <c r="R5" s="2772">
        <f>SUM(R14,R19,R24,R25,R27,R28)</f>
        <v>0</v>
      </c>
      <c r="S5" s="2761"/>
      <c r="T5" s="2761" t="s">
        <v>2839</v>
      </c>
      <c r="U5" s="2761" t="e">
        <f>ROUND(R5*10000/365/R3,1)</f>
        <v>#DIV/0!</v>
      </c>
      <c r="V5" s="2769"/>
    </row>
    <row r="6" spans="1:22" s="2773" customFormat="1" ht="13.35" customHeight="1" thickBot="1">
      <c r="A6" s="3195" t="s">
        <v>2840</v>
      </c>
      <c r="B6" s="3196"/>
      <c r="C6" s="3197"/>
      <c r="D6" s="2790"/>
      <c r="E6" s="2791"/>
      <c r="F6" s="2792"/>
      <c r="G6" s="2793"/>
      <c r="H6" s="2768"/>
      <c r="I6" s="2769"/>
      <c r="J6" s="3198">
        <v>1</v>
      </c>
      <c r="K6" s="3199" t="s">
        <v>2841</v>
      </c>
      <c r="L6" s="2794" t="s">
        <v>2842</v>
      </c>
      <c r="M6" s="2795" t="s">
        <v>2843</v>
      </c>
      <c r="N6" s="2795" t="s">
        <v>2844</v>
      </c>
      <c r="O6" s="2795" t="s">
        <v>2845</v>
      </c>
      <c r="P6" s="2795" t="s">
        <v>2846</v>
      </c>
      <c r="Q6" s="2795" t="s">
        <v>2847</v>
      </c>
      <c r="R6" s="2778" t="s">
        <v>2848</v>
      </c>
      <c r="S6" s="2761"/>
      <c r="T6" s="2761" t="s">
        <v>2849</v>
      </c>
      <c r="U6" s="2761"/>
      <c r="V6" s="2769"/>
    </row>
    <row r="7" spans="1:22" s="2773" customFormat="1" ht="13.35" customHeight="1">
      <c r="A7" s="2796" t="s">
        <v>2850</v>
      </c>
      <c r="B7" s="2797"/>
      <c r="C7" s="2798"/>
      <c r="D7" s="2799">
        <f>SUM(D9,D10,D11,D17,0)</f>
        <v>0</v>
      </c>
      <c r="E7" s="2800" t="e">
        <f>E9+E10+E11+E17</f>
        <v>#DIV/0!</v>
      </c>
      <c r="F7" s="2801"/>
      <c r="G7" s="2802"/>
      <c r="H7" s="2768"/>
      <c r="I7" s="2769"/>
      <c r="J7" s="3198"/>
      <c r="K7" s="3200"/>
      <c r="L7" s="2803" t="s">
        <v>2851</v>
      </c>
      <c r="M7" s="2804"/>
      <c r="N7" s="2780"/>
      <c r="O7" s="2805"/>
      <c r="P7" s="2805"/>
      <c r="Q7" s="2806">
        <v>365</v>
      </c>
      <c r="R7" s="2807">
        <f>ROUND(M7*N7*O7*P7*Q7/10000,0)</f>
        <v>0</v>
      </c>
      <c r="S7" s="2761"/>
      <c r="T7" s="2761" t="s">
        <v>2852</v>
      </c>
      <c r="U7" s="2761"/>
      <c r="V7" s="2769"/>
    </row>
    <row r="8" spans="1:22" s="2773" customFormat="1" ht="13.35" customHeight="1">
      <c r="A8" s="2808" t="s">
        <v>2853</v>
      </c>
      <c r="B8" s="3202" t="s">
        <v>2854</v>
      </c>
      <c r="C8" s="3203"/>
      <c r="D8" s="2809" t="s">
        <v>2855</v>
      </c>
      <c r="E8" s="2810" t="s">
        <v>2856</v>
      </c>
      <c r="F8" s="2811" t="s">
        <v>2857</v>
      </c>
      <c r="G8" s="2812"/>
      <c r="H8" s="2768"/>
      <c r="I8" s="2769"/>
      <c r="J8" s="3198"/>
      <c r="K8" s="3200"/>
      <c r="L8" s="2803" t="s">
        <v>2858</v>
      </c>
      <c r="M8" s="2804"/>
      <c r="N8" s="2780"/>
      <c r="O8" s="2805"/>
      <c r="P8" s="2805"/>
      <c r="Q8" s="2806">
        <v>365</v>
      </c>
      <c r="R8" s="2807">
        <f t="shared" ref="R8:R13" si="0">ROUND(M8*N8*O8*P8*Q8/10000,0)</f>
        <v>0</v>
      </c>
      <c r="S8" s="2761"/>
      <c r="T8" s="2761" t="s">
        <v>2859</v>
      </c>
      <c r="U8" s="2761"/>
      <c r="V8" s="2769"/>
    </row>
    <row r="9" spans="1:22" s="2773" customFormat="1" ht="13.35" customHeight="1">
      <c r="A9" s="2808">
        <v>1</v>
      </c>
      <c r="B9" s="3202" t="s">
        <v>2860</v>
      </c>
      <c r="C9" s="3203"/>
      <c r="D9" s="2809">
        <f>ROUND(D6*E9,0)</f>
        <v>0</v>
      </c>
      <c r="E9" s="2813"/>
      <c r="F9" s="2814" t="s">
        <v>2861</v>
      </c>
      <c r="G9" s="2793"/>
      <c r="H9" s="2768"/>
      <c r="I9" s="2769"/>
      <c r="J9" s="3198"/>
      <c r="K9" s="3200"/>
      <c r="L9" s="2803" t="s">
        <v>2862</v>
      </c>
      <c r="M9" s="2804"/>
      <c r="N9" s="2780"/>
      <c r="O9" s="2805"/>
      <c r="P9" s="2805"/>
      <c r="Q9" s="2806">
        <v>365</v>
      </c>
      <c r="R9" s="2807">
        <f t="shared" si="0"/>
        <v>0</v>
      </c>
      <c r="S9" s="2761"/>
      <c r="T9" s="2761"/>
      <c r="U9" s="2761"/>
      <c r="V9" s="2769"/>
    </row>
    <row r="10" spans="1:22" s="2773" customFormat="1" ht="13.35" customHeight="1">
      <c r="A10" s="2808">
        <v>2</v>
      </c>
      <c r="B10" s="3202" t="s">
        <v>2863</v>
      </c>
      <c r="C10" s="3203"/>
      <c r="D10" s="2809">
        <f>ROUND(D6*E10,0)</f>
        <v>0</v>
      </c>
      <c r="E10" s="2813"/>
      <c r="F10" s="2814" t="s">
        <v>2864</v>
      </c>
      <c r="G10" s="2793"/>
      <c r="H10" s="2768"/>
      <c r="I10" s="2769"/>
      <c r="J10" s="3198"/>
      <c r="K10" s="3200"/>
      <c r="L10" s="2803" t="s">
        <v>2865</v>
      </c>
      <c r="M10" s="2804"/>
      <c r="N10" s="2780"/>
      <c r="O10" s="2805"/>
      <c r="P10" s="2805"/>
      <c r="Q10" s="2806">
        <v>365</v>
      </c>
      <c r="R10" s="2807">
        <f t="shared" si="0"/>
        <v>0</v>
      </c>
      <c r="S10" s="2761"/>
      <c r="T10" s="2761"/>
      <c r="U10" s="2761"/>
      <c r="V10" s="2769"/>
    </row>
    <row r="11" spans="1:22" s="2773" customFormat="1" ht="13.35" customHeight="1">
      <c r="A11" s="2808">
        <v>3</v>
      </c>
      <c r="B11" s="3202" t="s">
        <v>2866</v>
      </c>
      <c r="C11" s="3203"/>
      <c r="D11" s="2809">
        <f>D12+D14+D15+D16</f>
        <v>0</v>
      </c>
      <c r="E11" s="2815" t="e">
        <f>D11/D6</f>
        <v>#DIV/0!</v>
      </c>
      <c r="F11" s="2811"/>
      <c r="G11" s="2812"/>
      <c r="H11" s="2768"/>
      <c r="I11" s="2769"/>
      <c r="J11" s="3198"/>
      <c r="K11" s="3200"/>
      <c r="L11" s="2803" t="s">
        <v>2867</v>
      </c>
      <c r="M11" s="2804"/>
      <c r="N11" s="2780"/>
      <c r="O11" s="2805"/>
      <c r="P11" s="2805"/>
      <c r="Q11" s="2806">
        <v>365</v>
      </c>
      <c r="R11" s="2807">
        <f t="shared" si="0"/>
        <v>0</v>
      </c>
      <c r="S11" s="2761"/>
      <c r="T11" s="2761"/>
      <c r="U11" s="2761"/>
      <c r="V11" s="2769"/>
    </row>
    <row r="12" spans="1:22" s="2773" customFormat="1" ht="13.35" customHeight="1">
      <c r="A12" s="2816" t="s">
        <v>2868</v>
      </c>
      <c r="B12" s="3204" t="s">
        <v>2869</v>
      </c>
      <c r="C12" s="3205"/>
      <c r="D12" s="2817">
        <f>ROUND(D13*1.2%*(1-30%),0)</f>
        <v>0</v>
      </c>
      <c r="E12" s="2818">
        <v>1.2E-2</v>
      </c>
      <c r="F12" s="2811" t="s">
        <v>2870</v>
      </c>
      <c r="G12" s="2812"/>
      <c r="H12" s="2768"/>
      <c r="I12" s="2769"/>
      <c r="J12" s="3198"/>
      <c r="K12" s="3200"/>
      <c r="L12" s="2803" t="s">
        <v>2871</v>
      </c>
      <c r="M12" s="2804"/>
      <c r="N12" s="2780"/>
      <c r="O12" s="2805"/>
      <c r="P12" s="2805"/>
      <c r="Q12" s="2806">
        <v>365</v>
      </c>
      <c r="R12" s="2807">
        <f t="shared" si="0"/>
        <v>0</v>
      </c>
      <c r="S12" s="2761"/>
      <c r="T12" s="2761"/>
      <c r="U12" s="2761"/>
      <c r="V12" s="2769"/>
    </row>
    <row r="13" spans="1:22" s="2773" customFormat="1" ht="13.35" customHeight="1">
      <c r="A13" s="2816"/>
      <c r="B13" s="2819"/>
      <c r="C13" s="2820" t="s">
        <v>2872</v>
      </c>
      <c r="D13" s="2821"/>
      <c r="E13" s="2822"/>
      <c r="F13" s="2811"/>
      <c r="G13" s="2812"/>
      <c r="H13" s="2768"/>
      <c r="I13" s="2769"/>
      <c r="J13" s="3198"/>
      <c r="K13" s="3200"/>
      <c r="L13" s="2803" t="s">
        <v>2873</v>
      </c>
      <c r="M13" s="2804"/>
      <c r="N13" s="2780"/>
      <c r="O13" s="2805"/>
      <c r="P13" s="2805"/>
      <c r="Q13" s="2806">
        <v>365</v>
      </c>
      <c r="R13" s="2807">
        <f t="shared" si="0"/>
        <v>0</v>
      </c>
      <c r="S13" s="2761"/>
      <c r="T13" s="2761"/>
      <c r="U13" s="2761"/>
      <c r="V13" s="2769"/>
    </row>
    <row r="14" spans="1:22" s="2773" customFormat="1" ht="13.35" customHeight="1">
      <c r="A14" s="2816" t="s">
        <v>2874</v>
      </c>
      <c r="B14" s="3204" t="s">
        <v>2875</v>
      </c>
      <c r="C14" s="3205"/>
      <c r="D14" s="2817">
        <f>ROUND(E14*B5/10000,0)</f>
        <v>0</v>
      </c>
      <c r="E14" s="2806"/>
      <c r="F14" s="2811" t="s">
        <v>2876</v>
      </c>
      <c r="G14" s="2812"/>
      <c r="H14" s="2768"/>
      <c r="I14" s="2769"/>
      <c r="J14" s="3198"/>
      <c r="K14" s="3201"/>
      <c r="L14" s="2823" t="s">
        <v>2877</v>
      </c>
      <c r="M14" s="2824">
        <f>SUM(M7:M13)</f>
        <v>0</v>
      </c>
      <c r="N14" s="2824" t="e">
        <f>ROUND((N7*M7+N8*M8+N9*M9+N10*M10+N11*M11+N12*M12+N13*M13)/M14,0)</f>
        <v>#DIV/0!</v>
      </c>
      <c r="O14" s="2825"/>
      <c r="P14" s="2825"/>
      <c r="Q14" s="2826"/>
      <c r="R14" s="2772">
        <f>SUM(R7:R13)</f>
        <v>0</v>
      </c>
      <c r="S14" s="2761"/>
      <c r="T14" s="2761"/>
      <c r="U14" s="2761"/>
      <c r="V14" s="2769"/>
    </row>
    <row r="15" spans="1:22" s="2773" customFormat="1" ht="13.35" customHeight="1">
      <c r="A15" s="2816" t="s">
        <v>2878</v>
      </c>
      <c r="B15" s="3204" t="s">
        <v>2879</v>
      </c>
      <c r="C15" s="3205"/>
      <c r="D15" s="2817">
        <f>ROUND(D6*E15,0)</f>
        <v>0</v>
      </c>
      <c r="E15" s="2818">
        <v>5.5E-2</v>
      </c>
      <c r="F15" s="2811" t="s">
        <v>2880</v>
      </c>
      <c r="G15" s="2793"/>
      <c r="H15" s="2768"/>
      <c r="I15" s="2769"/>
      <c r="J15" s="3198">
        <v>2</v>
      </c>
      <c r="K15" s="3199" t="s">
        <v>2881</v>
      </c>
      <c r="L15" s="2803" t="s">
        <v>2882</v>
      </c>
      <c r="M15" s="2804" t="s">
        <v>2883</v>
      </c>
      <c r="N15" s="2804" t="s">
        <v>2884</v>
      </c>
      <c r="O15" s="2805" t="s">
        <v>2885</v>
      </c>
      <c r="P15" s="2805" t="s">
        <v>2847</v>
      </c>
      <c r="Q15" s="2780" t="s">
        <v>2886</v>
      </c>
      <c r="R15" s="2827" t="s">
        <v>2848</v>
      </c>
      <c r="S15" s="2761"/>
      <c r="T15" s="2761"/>
      <c r="U15" s="2761"/>
      <c r="V15" s="2769"/>
    </row>
    <row r="16" spans="1:22" s="2773" customFormat="1" ht="13.35" customHeight="1">
      <c r="A16" s="2816" t="s">
        <v>2887</v>
      </c>
      <c r="B16" s="3204" t="s">
        <v>2888</v>
      </c>
      <c r="C16" s="3205"/>
      <c r="D16" s="2828">
        <f>D6*E16</f>
        <v>0</v>
      </c>
      <c r="E16" s="2829"/>
      <c r="F16" s="2814" t="s">
        <v>2889</v>
      </c>
      <c r="G16" s="2793"/>
      <c r="H16" s="2768"/>
      <c r="I16" s="2769"/>
      <c r="J16" s="3198"/>
      <c r="K16" s="3200"/>
      <c r="L16" s="2803" t="s">
        <v>2890</v>
      </c>
      <c r="M16" s="2804"/>
      <c r="N16" s="2804"/>
      <c r="O16" s="2805"/>
      <c r="P16" s="2806">
        <v>365</v>
      </c>
      <c r="Q16" s="2780"/>
      <c r="R16" s="2827">
        <f>ROUND(M16*N16*O16*P16/10000,0)</f>
        <v>0</v>
      </c>
      <c r="S16" s="2761"/>
      <c r="T16" s="2761"/>
      <c r="U16" s="2761"/>
      <c r="V16" s="2769"/>
    </row>
    <row r="17" spans="1:22" s="2773" customFormat="1" ht="13.35" customHeight="1" thickBot="1">
      <c r="A17" s="2830">
        <v>4</v>
      </c>
      <c r="B17" s="3206" t="s">
        <v>2891</v>
      </c>
      <c r="C17" s="3207"/>
      <c r="D17" s="2831">
        <f>ROUND(D6*E17,0)</f>
        <v>0</v>
      </c>
      <c r="E17" s="2832"/>
      <c r="F17" s="2833" t="s">
        <v>2892</v>
      </c>
      <c r="G17" s="2793"/>
      <c r="H17" s="2768"/>
      <c r="I17" s="2769"/>
      <c r="J17" s="3198"/>
      <c r="K17" s="3200"/>
      <c r="L17" s="2803" t="s">
        <v>2893</v>
      </c>
      <c r="M17" s="2804"/>
      <c r="N17" s="2804"/>
      <c r="O17" s="2805"/>
      <c r="P17" s="2806">
        <v>365</v>
      </c>
      <c r="Q17" s="2780"/>
      <c r="R17" s="2827">
        <f>ROUND(M17*N17*O17*P17/10000,0)</f>
        <v>0</v>
      </c>
      <c r="S17" s="2761"/>
      <c r="T17" s="2761"/>
      <c r="U17" s="2761"/>
      <c r="V17" s="2769"/>
    </row>
    <row r="18" spans="1:22" s="2773" customFormat="1" ht="13.35" customHeight="1" thickBot="1">
      <c r="A18" s="2796" t="s">
        <v>2894</v>
      </c>
      <c r="B18" s="2797"/>
      <c r="C18" s="2797"/>
      <c r="D18" s="2834">
        <f>ROUND(D6*E18,0)</f>
        <v>0</v>
      </c>
      <c r="E18" s="2835"/>
      <c r="F18" s="2836" t="s">
        <v>2895</v>
      </c>
      <c r="G18" s="2793"/>
      <c r="H18" s="2768"/>
      <c r="I18" s="2769"/>
      <c r="J18" s="3198"/>
      <c r="K18" s="3200"/>
      <c r="L18" s="2803" t="s">
        <v>2896</v>
      </c>
      <c r="M18" s="2804"/>
      <c r="N18" s="2804"/>
      <c r="O18" s="2805"/>
      <c r="P18" s="2806">
        <v>365</v>
      </c>
      <c r="Q18" s="2780"/>
      <c r="R18" s="2827">
        <f>ROUND(M18*N18*O18*P18/10000,0)</f>
        <v>0</v>
      </c>
      <c r="S18" s="2761"/>
      <c r="T18" s="2761"/>
      <c r="U18" s="2761"/>
      <c r="V18" s="2769"/>
    </row>
    <row r="19" spans="1:22" s="2773" customFormat="1" ht="13.35" customHeight="1" thickBot="1">
      <c r="A19" s="2837" t="s">
        <v>2897</v>
      </c>
      <c r="B19" s="2791"/>
      <c r="C19" s="2791"/>
      <c r="D19" s="2791"/>
      <c r="E19" s="2791"/>
      <c r="F19" s="2792"/>
      <c r="G19" s="2812"/>
      <c r="H19" s="2768"/>
      <c r="I19" s="2769"/>
      <c r="J19" s="3198"/>
      <c r="K19" s="3201"/>
      <c r="L19" s="2823" t="s">
        <v>2877</v>
      </c>
      <c r="M19" s="2824"/>
      <c r="N19" s="2824">
        <f>SUM(N16:N18)</f>
        <v>0</v>
      </c>
      <c r="O19" s="2825"/>
      <c r="P19" s="2838" t="s">
        <v>2941</v>
      </c>
      <c r="Q19" s="2805">
        <v>0</v>
      </c>
      <c r="R19" s="2839">
        <f>ROUND(IF(P19="按比例",R14*Q19,SUM(R16:R18)),0)</f>
        <v>0</v>
      </c>
      <c r="S19" s="2761"/>
      <c r="T19" s="2761"/>
      <c r="U19" s="2761"/>
      <c r="V19" s="2769"/>
    </row>
    <row r="20" spans="1:22" s="2773" customFormat="1" ht="13.35" customHeight="1">
      <c r="A20" s="2796"/>
      <c r="B20" s="2797"/>
      <c r="C20" s="2797"/>
      <c r="D20" s="2797"/>
      <c r="E20" s="2797"/>
      <c r="F20" s="2840"/>
      <c r="G20" s="2812"/>
      <c r="H20" s="2768"/>
      <c r="I20" s="2769"/>
      <c r="J20" s="3198">
        <v>3</v>
      </c>
      <c r="K20" s="3199" t="s">
        <v>2898</v>
      </c>
      <c r="L20" s="2803" t="s">
        <v>2899</v>
      </c>
      <c r="M20" s="2804" t="s">
        <v>2900</v>
      </c>
      <c r="N20" s="2841" t="s">
        <v>2901</v>
      </c>
      <c r="O20" s="2805" t="s">
        <v>2902</v>
      </c>
      <c r="P20" s="2806" t="s">
        <v>2903</v>
      </c>
      <c r="Q20" s="2780" t="s">
        <v>2904</v>
      </c>
      <c r="R20" s="2827" t="s">
        <v>2905</v>
      </c>
      <c r="S20" s="2761"/>
      <c r="T20" s="2761"/>
      <c r="U20" s="2761"/>
      <c r="V20" s="2769"/>
    </row>
    <row r="21" spans="1:22" s="2773" customFormat="1" ht="13.35" customHeight="1">
      <c r="A21" s="2796"/>
      <c r="B21" s="2797"/>
      <c r="C21" s="2842" t="s">
        <v>2906</v>
      </c>
      <c r="D21" s="2843" t="s">
        <v>2907</v>
      </c>
      <c r="E21" s="2844" t="s">
        <v>2908</v>
      </c>
      <c r="F21" s="2840"/>
      <c r="G21" s="2812"/>
      <c r="H21" s="2768"/>
      <c r="I21" s="2769"/>
      <c r="J21" s="3198"/>
      <c r="K21" s="3200"/>
      <c r="L21" s="2803" t="s">
        <v>2909</v>
      </c>
      <c r="M21" s="2804"/>
      <c r="N21" s="2804"/>
      <c r="O21" s="2805"/>
      <c r="P21" s="2806">
        <v>365</v>
      </c>
      <c r="Q21" s="2780"/>
      <c r="R21" s="2845">
        <f>ROUND(M21*N21*O21*P21/10000,0)</f>
        <v>0</v>
      </c>
      <c r="S21" s="2761"/>
      <c r="T21" s="2761"/>
      <c r="U21" s="2761"/>
      <c r="V21" s="2769"/>
    </row>
    <row r="22" spans="1:22" s="2773" customFormat="1" ht="13.35" customHeight="1">
      <c r="A22" s="2796"/>
      <c r="B22" s="2797"/>
      <c r="C22" s="2846" t="s">
        <v>2910</v>
      </c>
      <c r="D22" s="2847" t="s">
        <v>2911</v>
      </c>
      <c r="E22" s="2848" t="s">
        <v>2912</v>
      </c>
      <c r="F22" s="2840"/>
      <c r="G22" s="2761"/>
      <c r="H22" s="2768"/>
      <c r="I22" s="2769"/>
      <c r="J22" s="3198"/>
      <c r="K22" s="3200"/>
      <c r="L22" s="2803" t="s">
        <v>2913</v>
      </c>
      <c r="M22" s="2804"/>
      <c r="N22" s="2804"/>
      <c r="O22" s="2805"/>
      <c r="P22" s="2806">
        <v>365</v>
      </c>
      <c r="Q22" s="2780"/>
      <c r="R22" s="2845">
        <f>ROUND(M22*N22*O22*P22/10000,0)</f>
        <v>0</v>
      </c>
      <c r="S22" s="2761"/>
      <c r="T22" s="2761"/>
      <c r="U22" s="2761"/>
      <c r="V22" s="2769"/>
    </row>
    <row r="23" spans="1:22" s="2773" customFormat="1" ht="13.35" customHeight="1">
      <c r="A23" s="2849">
        <v>1</v>
      </c>
      <c r="B23" s="2850" t="s">
        <v>2914</v>
      </c>
      <c r="C23" s="2851">
        <f>D6</f>
        <v>0</v>
      </c>
      <c r="D23" s="2852">
        <f>C23*(1+D24)</f>
        <v>0</v>
      </c>
      <c r="E23" s="2853">
        <f>D23*(1+E24)</f>
        <v>0</v>
      </c>
      <c r="F23" s="2854"/>
      <c r="G23" s="2855"/>
      <c r="H23" s="2768"/>
      <c r="I23" s="2769"/>
      <c r="J23" s="3198"/>
      <c r="K23" s="3200"/>
      <c r="L23" s="2803" t="s">
        <v>2915</v>
      </c>
      <c r="M23" s="2804"/>
      <c r="N23" s="2804"/>
      <c r="O23" s="2805"/>
      <c r="P23" s="2806">
        <v>365</v>
      </c>
      <c r="Q23" s="2780"/>
      <c r="R23" s="2845">
        <f>ROUND(M23*N23*O23*P23/10000,0)</f>
        <v>0</v>
      </c>
      <c r="S23" s="2761"/>
      <c r="T23" s="2761"/>
      <c r="U23" s="2761"/>
      <c r="V23" s="2769"/>
    </row>
    <row r="24" spans="1:22" s="2773" customFormat="1" ht="13.35" customHeight="1">
      <c r="A24" s="2856"/>
      <c r="B24" s="2857" t="s">
        <v>2916</v>
      </c>
      <c r="C24" s="2858"/>
      <c r="D24" s="2859"/>
      <c r="E24" s="2860"/>
      <c r="F24" s="2861"/>
      <c r="G24" s="2855"/>
      <c r="H24" s="2768"/>
      <c r="I24" s="2769"/>
      <c r="J24" s="3198"/>
      <c r="K24" s="3201"/>
      <c r="L24" s="2823" t="s">
        <v>2877</v>
      </c>
      <c r="M24" s="2824">
        <f>SUM(M21:M23)</f>
        <v>0</v>
      </c>
      <c r="N24" s="2824"/>
      <c r="O24" s="2825"/>
      <c r="P24" s="2838" t="s">
        <v>2941</v>
      </c>
      <c r="Q24" s="2805">
        <v>0</v>
      </c>
      <c r="R24" s="2839">
        <f>ROUND(IF(P24="按比例",R14*Q24,SUM(R21:R23)),0)</f>
        <v>0</v>
      </c>
      <c r="S24" s="2761"/>
      <c r="T24" s="2761"/>
      <c r="U24" s="2761"/>
      <c r="V24" s="2769"/>
    </row>
    <row r="25" spans="1:22" s="2868" customFormat="1" ht="13.35" customHeight="1">
      <c r="A25" s="2856"/>
      <c r="B25" s="2857"/>
      <c r="C25" s="2858"/>
      <c r="D25" s="2859"/>
      <c r="E25" s="2860"/>
      <c r="F25" s="2861"/>
      <c r="G25" s="2761"/>
      <c r="H25" s="2768"/>
      <c r="I25" s="2769"/>
      <c r="J25" s="2862">
        <v>4</v>
      </c>
      <c r="K25" s="2863" t="s">
        <v>2917</v>
      </c>
      <c r="L25" s="2864"/>
      <c r="M25" s="2864"/>
      <c r="N25" s="2864"/>
      <c r="O25" s="2864"/>
      <c r="P25" s="2865"/>
      <c r="Q25" s="2866">
        <v>0</v>
      </c>
      <c r="R25" s="2839">
        <f>ROUND(R14*Q25,0)</f>
        <v>0</v>
      </c>
      <c r="S25" s="2761"/>
      <c r="T25" s="2761"/>
      <c r="U25" s="2761"/>
      <c r="V25" s="2867"/>
    </row>
    <row r="26" spans="1:22" s="2868" customFormat="1" ht="13.35" customHeight="1">
      <c r="A26" s="2849">
        <v>2</v>
      </c>
      <c r="B26" s="2850" t="s">
        <v>2918</v>
      </c>
      <c r="C26" s="2851">
        <f>D7</f>
        <v>0</v>
      </c>
      <c r="D26" s="2852">
        <f>D23*D27</f>
        <v>0</v>
      </c>
      <c r="E26" s="2853">
        <f>E23*E27</f>
        <v>0</v>
      </c>
      <c r="F26" s="2854"/>
      <c r="G26" s="2855"/>
      <c r="H26" s="2768"/>
      <c r="I26" s="2769"/>
      <c r="J26" s="3208">
        <v>5</v>
      </c>
      <c r="K26" s="2869" t="s">
        <v>2919</v>
      </c>
      <c r="L26" s="2870"/>
      <c r="M26" s="2871"/>
      <c r="N26" s="2872" t="s">
        <v>2920</v>
      </c>
      <c r="O26" s="2872" t="s">
        <v>2921</v>
      </c>
      <c r="P26" s="2873" t="s">
        <v>2922</v>
      </c>
      <c r="Q26" s="2873" t="s">
        <v>2923</v>
      </c>
      <c r="R26" s="2778" t="s">
        <v>2848</v>
      </c>
      <c r="S26" s="2812"/>
      <c r="T26" s="2812"/>
      <c r="U26" s="2812"/>
      <c r="V26" s="2867"/>
    </row>
    <row r="27" spans="1:22" s="2773" customFormat="1" ht="13.35" customHeight="1">
      <c r="A27" s="2856"/>
      <c r="B27" s="2857" t="s">
        <v>2924</v>
      </c>
      <c r="C27" s="2874" t="e">
        <f>E7</f>
        <v>#DIV/0!</v>
      </c>
      <c r="D27" s="2859"/>
      <c r="E27" s="2860"/>
      <c r="F27" s="2861"/>
      <c r="G27" s="2855"/>
      <c r="H27" s="2875"/>
      <c r="I27" s="2867"/>
      <c r="J27" s="3209"/>
      <c r="K27" s="2876"/>
      <c r="L27" s="2877"/>
      <c r="M27" s="2878"/>
      <c r="N27" s="2879"/>
      <c r="O27" s="2879"/>
      <c r="P27" s="2879"/>
      <c r="Q27" s="2880"/>
      <c r="R27" s="2839">
        <f>ROUND(O27*N27*P27*(1-Q27)/10000,0)</f>
        <v>0</v>
      </c>
      <c r="S27" s="2761"/>
      <c r="T27" s="2761"/>
      <c r="U27" s="2761"/>
      <c r="V27" s="2769"/>
    </row>
    <row r="28" spans="1:22" s="2868" customFormat="1" ht="13.35" customHeight="1" thickBot="1">
      <c r="A28" s="2856"/>
      <c r="B28" s="2857"/>
      <c r="C28" s="2874"/>
      <c r="D28" s="2859"/>
      <c r="E28" s="2860" t="s">
        <v>2925</v>
      </c>
      <c r="F28" s="2861"/>
      <c r="G28" s="2761"/>
      <c r="H28" s="2875"/>
      <c r="I28" s="2867"/>
      <c r="J28" s="2881">
        <v>6</v>
      </c>
      <c r="K28" s="2882" t="s">
        <v>2926</v>
      </c>
      <c r="L28" s="2883" t="s">
        <v>2927</v>
      </c>
      <c r="M28" s="2884"/>
      <c r="N28" s="2883" t="s">
        <v>2928</v>
      </c>
      <c r="O28" s="2885"/>
      <c r="P28" s="2883" t="s">
        <v>2929</v>
      </c>
      <c r="Q28" s="2886">
        <v>1.4999999999999999E-2</v>
      </c>
      <c r="R28" s="2887"/>
      <c r="S28" s="2761"/>
      <c r="T28" s="2761"/>
      <c r="U28" s="2761"/>
      <c r="V28" s="2867"/>
    </row>
    <row r="29" spans="1:22" s="2868" customFormat="1" ht="13.35" customHeight="1">
      <c r="A29" s="2849">
        <v>3</v>
      </c>
      <c r="B29" s="2850" t="s">
        <v>2930</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35" customHeight="1" thickBot="1">
      <c r="A30" s="2856"/>
      <c r="B30" s="2857" t="s">
        <v>2924</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35" customHeight="1">
      <c r="A31" s="2856"/>
      <c r="B31" s="2857"/>
      <c r="C31" s="2889"/>
      <c r="D31" s="2888"/>
      <c r="E31" s="2822"/>
      <c r="F31" s="2861"/>
      <c r="G31" s="2761"/>
      <c r="H31" s="2875"/>
      <c r="I31" s="2867"/>
      <c r="J31" s="2758" t="s">
        <v>2931</v>
      </c>
      <c r="K31" s="2759"/>
      <c r="L31" s="2759"/>
      <c r="M31" s="2759"/>
      <c r="N31" s="2759"/>
      <c r="O31" s="2759"/>
      <c r="P31" s="2759"/>
      <c r="Q31" s="2759"/>
      <c r="R31" s="2760"/>
      <c r="S31" s="2761"/>
      <c r="T31" s="2761"/>
      <c r="U31" s="2761"/>
      <c r="V31" s="2867"/>
    </row>
    <row r="32" spans="1:22" s="2868" customFormat="1" ht="13.35" customHeight="1">
      <c r="A32" s="2849">
        <v>4</v>
      </c>
      <c r="B32" s="2850" t="s">
        <v>2932</v>
      </c>
      <c r="C32" s="2851">
        <f>C23-C26-C29</f>
        <v>0</v>
      </c>
      <c r="D32" s="2852">
        <f>D23-D26-D29</f>
        <v>0</v>
      </c>
      <c r="E32" s="2853">
        <f>E23-E26-E29</f>
        <v>0</v>
      </c>
      <c r="F32" s="2854"/>
      <c r="G32" s="2761"/>
      <c r="H32" s="2768"/>
      <c r="I32" s="2769"/>
      <c r="J32" s="3191" t="s">
        <v>2824</v>
      </c>
      <c r="K32" s="3192"/>
      <c r="L32" s="2770" t="s">
        <v>2825</v>
      </c>
      <c r="M32" s="2770" t="s">
        <v>2826</v>
      </c>
      <c r="N32" s="2770" t="s">
        <v>2827</v>
      </c>
      <c r="O32" s="2770" t="s">
        <v>2828</v>
      </c>
      <c r="P32" s="2770" t="s">
        <v>2829</v>
      </c>
      <c r="Q32" s="2771" t="s">
        <v>2830</v>
      </c>
      <c r="R32" s="2890" t="s">
        <v>2831</v>
      </c>
      <c r="S32" s="2761"/>
      <c r="T32" s="2761"/>
      <c r="U32" s="2761"/>
      <c r="V32" s="2867"/>
    </row>
    <row r="33" spans="1:23" s="2773" customFormat="1" ht="13.35" customHeight="1">
      <c r="A33" s="2849"/>
      <c r="B33" s="2850"/>
      <c r="C33" s="2851"/>
      <c r="D33" s="2891"/>
      <c r="E33" s="2892"/>
      <c r="F33" s="2854"/>
      <c r="G33" s="2761"/>
      <c r="H33" s="2875"/>
      <c r="I33" s="2867"/>
      <c r="J33" s="3193" t="s">
        <v>2834</v>
      </c>
      <c r="K33" s="3194"/>
      <c r="L33" s="2776"/>
      <c r="M33" s="2776"/>
      <c r="N33" s="2776"/>
      <c r="O33" s="2776"/>
      <c r="P33" s="2776"/>
      <c r="Q33" s="2777"/>
      <c r="R33" s="2893">
        <f>SUM(L33:Q33)</f>
        <v>0</v>
      </c>
      <c r="S33" s="2761"/>
      <c r="T33" s="2761"/>
      <c r="U33" s="2761"/>
      <c r="V33" s="2769"/>
    </row>
    <row r="34" spans="1:23" s="2773" customFormat="1" ht="13.35" customHeight="1">
      <c r="A34" s="2849">
        <v>5</v>
      </c>
      <c r="B34" s="2850" t="s">
        <v>2933</v>
      </c>
      <c r="C34" s="2894"/>
      <c r="D34" s="2895"/>
      <c r="E34" s="2896"/>
      <c r="F34" s="2854"/>
      <c r="G34" s="2761"/>
      <c r="H34" s="2875"/>
      <c r="I34" s="2867"/>
      <c r="J34" s="3193" t="s">
        <v>2836</v>
      </c>
      <c r="K34" s="3194"/>
      <c r="L34" s="2781"/>
      <c r="M34" s="2781"/>
      <c r="N34" s="2781"/>
      <c r="O34" s="2781"/>
      <c r="P34" s="2781"/>
      <c r="Q34" s="2782"/>
      <c r="R34" s="2897">
        <f>SUM(L34:Q34)</f>
        <v>0</v>
      </c>
      <c r="S34" s="2761"/>
      <c r="T34" s="2761"/>
      <c r="U34" s="2761" t="e">
        <f>ROUND(R35*10000/365/R33,1)</f>
        <v>#DIV/0!</v>
      </c>
      <c r="V34" s="2769"/>
    </row>
    <row r="35" spans="1:23" s="2773" customFormat="1" ht="13.35" customHeight="1">
      <c r="A35" s="2849">
        <v>6</v>
      </c>
      <c r="B35" s="2850" t="s">
        <v>2934</v>
      </c>
      <c r="C35" s="2898"/>
      <c r="D35" s="2899"/>
      <c r="E35" s="2900"/>
      <c r="F35" s="2854"/>
      <c r="G35" s="2901"/>
      <c r="H35" s="2768"/>
      <c r="I35" s="2867"/>
      <c r="J35" s="2787" t="s">
        <v>2838</v>
      </c>
      <c r="K35" s="2788"/>
      <c r="L35" s="2788"/>
      <c r="M35" s="2789"/>
      <c r="N35" s="2789"/>
      <c r="O35" s="2789"/>
      <c r="P35" s="2789"/>
      <c r="Q35" s="2789"/>
      <c r="R35" s="2902">
        <f>R40+R41+R43</f>
        <v>0</v>
      </c>
      <c r="S35" s="2761"/>
      <c r="T35" s="2761" t="s">
        <v>2839</v>
      </c>
      <c r="U35" s="2761"/>
      <c r="V35" s="2769"/>
    </row>
    <row r="36" spans="1:23" s="2773" customFormat="1" ht="13.35" customHeight="1" thickBot="1">
      <c r="A36" s="2849">
        <v>7</v>
      </c>
      <c r="B36" s="2903" t="s">
        <v>2935</v>
      </c>
      <c r="C36" s="2904"/>
      <c r="D36" s="2905"/>
      <c r="E36" s="2906"/>
      <c r="F36" s="2907">
        <f>C36+D36+E36</f>
        <v>0</v>
      </c>
      <c r="G36" s="2761"/>
      <c r="H36" s="2768"/>
      <c r="I36" s="2769"/>
      <c r="J36" s="3198">
        <v>1</v>
      </c>
      <c r="K36" s="3199" t="s">
        <v>2936</v>
      </c>
      <c r="L36" s="2794"/>
      <c r="M36" s="2795"/>
      <c r="N36" s="2795"/>
      <c r="O36" s="2795"/>
      <c r="P36" s="2795"/>
      <c r="Q36" s="2795"/>
      <c r="R36" s="2778" t="s">
        <v>2848</v>
      </c>
      <c r="S36" s="2761"/>
      <c r="T36" s="2761" t="s">
        <v>2849</v>
      </c>
      <c r="U36" s="2761"/>
      <c r="V36" s="2769"/>
    </row>
    <row r="37" spans="1:23" s="2773" customFormat="1" ht="13.35" customHeight="1">
      <c r="A37" s="2849"/>
      <c r="B37" s="2850"/>
      <c r="C37" s="2850"/>
      <c r="D37" s="2850"/>
      <c r="E37" s="2850"/>
      <c r="F37" s="2854"/>
      <c r="G37" s="2761"/>
      <c r="H37" s="2768"/>
      <c r="I37" s="2769"/>
      <c r="J37" s="3198"/>
      <c r="K37" s="3200"/>
      <c r="L37" s="2803"/>
      <c r="M37" s="2804"/>
      <c r="N37" s="2780"/>
      <c r="O37" s="2805"/>
      <c r="P37" s="2805"/>
      <c r="Q37" s="2806"/>
      <c r="R37" s="2807"/>
      <c r="S37" s="2761"/>
      <c r="T37" s="2761" t="s">
        <v>2852</v>
      </c>
      <c r="U37" s="2761"/>
      <c r="V37" s="2769"/>
    </row>
    <row r="38" spans="1:23" s="2773" customFormat="1" ht="13.35" customHeight="1">
      <c r="A38" s="2849">
        <v>8</v>
      </c>
      <c r="B38" s="2850"/>
      <c r="C38" s="2809" t="e">
        <f>ROUND(C32*(1-((1+C35)/(1+C34))^C36)/(C34-C35),0)</f>
        <v>#DIV/0!</v>
      </c>
      <c r="D38" s="2809">
        <f>IF(D23=0,0,ROUND(D32*(1-((1+D35)/(1+D34))^D36)/(D34-D35),0))</f>
        <v>0</v>
      </c>
      <c r="E38" s="2809">
        <f>IF(E23=0,0,ROUND(E32*(1-((1+E35)/(1+E34))^E36)/(E34-E35),0))</f>
        <v>0</v>
      </c>
      <c r="F38" s="2854"/>
      <c r="G38" s="2761"/>
      <c r="H38" s="2768"/>
      <c r="I38" s="2769"/>
      <c r="J38" s="3198"/>
      <c r="K38" s="3200"/>
      <c r="L38" s="2803"/>
      <c r="M38" s="2804"/>
      <c r="N38" s="2780"/>
      <c r="O38" s="2805"/>
      <c r="P38" s="2805"/>
      <c r="Q38" s="2806"/>
      <c r="R38" s="2807"/>
      <c r="S38" s="2761"/>
      <c r="T38" s="2761" t="s">
        <v>2859</v>
      </c>
      <c r="U38" s="2761"/>
      <c r="V38" s="2769"/>
    </row>
    <row r="39" spans="1:23" s="2773" customFormat="1" ht="13.35" customHeight="1">
      <c r="A39" s="2849">
        <v>9</v>
      </c>
      <c r="B39" s="2850" t="s">
        <v>2937</v>
      </c>
      <c r="C39" s="2817" t="e">
        <f>C38</f>
        <v>#DIV/0!</v>
      </c>
      <c r="D39" s="2850">
        <f>D38/(1+D34)^C36</f>
        <v>0</v>
      </c>
      <c r="E39" s="2850">
        <f>E38/(1+E34)^(C36+D36)</f>
        <v>0</v>
      </c>
      <c r="F39" s="2854"/>
      <c r="G39" s="2769"/>
      <c r="H39" s="2768"/>
      <c r="I39" s="2769"/>
      <c r="J39" s="3198"/>
      <c r="K39" s="3200"/>
      <c r="L39" s="2803"/>
      <c r="M39" s="2804"/>
      <c r="N39" s="2780"/>
      <c r="O39" s="2805"/>
      <c r="P39" s="2805"/>
      <c r="Q39" s="2806"/>
      <c r="R39" s="2807"/>
      <c r="S39" s="2761"/>
      <c r="T39" s="2761"/>
      <c r="U39" s="2761"/>
      <c r="V39" s="2769"/>
    </row>
    <row r="40" spans="1:23" s="2773" customFormat="1" ht="13.35" customHeight="1">
      <c r="A40" s="2908">
        <v>10</v>
      </c>
      <c r="B40" s="2850" t="s">
        <v>2938</v>
      </c>
      <c r="C40" s="2909" t="e">
        <f>C39+D39+E39</f>
        <v>#DIV/0!</v>
      </c>
      <c r="D40" s="2910"/>
      <c r="E40" s="2910"/>
      <c r="F40" s="2911"/>
      <c r="G40" s="2761"/>
      <c r="H40" s="2768"/>
      <c r="I40" s="2769"/>
      <c r="J40" s="3198"/>
      <c r="K40" s="3201"/>
      <c r="L40" s="2823" t="s">
        <v>2877</v>
      </c>
      <c r="M40" s="2824"/>
      <c r="N40" s="2824"/>
      <c r="O40" s="2825"/>
      <c r="P40" s="2825"/>
      <c r="Q40" s="2826"/>
      <c r="R40" s="2772">
        <f>SUM(R37:R39)</f>
        <v>0</v>
      </c>
      <c r="S40" s="2761"/>
      <c r="T40" s="2761"/>
      <c r="U40" s="2761"/>
      <c r="V40" s="2769"/>
    </row>
    <row r="41" spans="1:23" s="2773" customFormat="1" ht="13.35" customHeight="1" thickBot="1">
      <c r="A41" s="2912">
        <v>11</v>
      </c>
      <c r="B41" s="2913" t="s">
        <v>2939</v>
      </c>
      <c r="C41" s="2913" t="e">
        <f>ROUND(C40*10000/B4,0)</f>
        <v>#DIV/0!</v>
      </c>
      <c r="D41" s="2914"/>
      <c r="E41" s="2914"/>
      <c r="F41" s="2915"/>
      <c r="G41" s="2768"/>
      <c r="H41" s="2768"/>
      <c r="I41" s="2769"/>
      <c r="J41" s="2862">
        <v>2</v>
      </c>
      <c r="K41" s="2863" t="s">
        <v>2917</v>
      </c>
      <c r="L41" s="2864"/>
      <c r="M41" s="2864"/>
      <c r="N41" s="2864"/>
      <c r="O41" s="2864"/>
      <c r="P41" s="2865"/>
      <c r="Q41" s="2866"/>
      <c r="R41" s="2839">
        <f>ROUND(R40*Q41,0)</f>
        <v>0</v>
      </c>
      <c r="S41" s="2761"/>
      <c r="T41" s="2761"/>
      <c r="U41" s="2812"/>
      <c r="V41" s="2769"/>
    </row>
    <row r="42" spans="1:23" s="2773" customFormat="1" ht="13.35" customHeight="1">
      <c r="G42" s="2768"/>
      <c r="H42" s="2768"/>
      <c r="I42" s="2769"/>
      <c r="J42" s="3208">
        <v>3</v>
      </c>
      <c r="K42" s="2869" t="s">
        <v>2919</v>
      </c>
      <c r="L42" s="2870"/>
      <c r="M42" s="2871"/>
      <c r="N42" s="2872" t="s">
        <v>2920</v>
      </c>
      <c r="O42" s="2872" t="s">
        <v>2921</v>
      </c>
      <c r="P42" s="2873" t="s">
        <v>2922</v>
      </c>
      <c r="Q42" s="2873" t="s">
        <v>2923</v>
      </c>
      <c r="R42" s="2778" t="s">
        <v>2848</v>
      </c>
      <c r="S42" s="2812"/>
      <c r="T42" s="2812"/>
      <c r="U42" s="2761"/>
      <c r="V42" s="2769"/>
    </row>
    <row r="43" spans="1:23" ht="13.35" customHeight="1">
      <c r="A43" s="2773"/>
      <c r="B43" s="2773"/>
      <c r="C43" s="2773"/>
      <c r="D43" s="2773"/>
      <c r="E43" s="2773"/>
      <c r="F43" s="2773"/>
      <c r="I43" s="2756"/>
      <c r="J43" s="3209"/>
      <c r="K43" s="2876"/>
      <c r="L43" s="2877"/>
      <c r="M43" s="2878"/>
      <c r="N43" s="2804"/>
      <c r="O43" s="2804"/>
      <c r="P43" s="2804"/>
      <c r="Q43" s="2866"/>
      <c r="R43" s="2839">
        <f>ROUND(O43*N43*P43*(1-Q43)/10000,0)</f>
        <v>0</v>
      </c>
      <c r="S43" s="2761"/>
      <c r="T43" s="2761"/>
      <c r="V43" s="2916"/>
      <c r="W43" s="2917"/>
    </row>
    <row r="44" spans="1:23" ht="13.35" customHeight="1" thickBot="1">
      <c r="J44" s="2881">
        <v>6</v>
      </c>
      <c r="K44" s="2882" t="s">
        <v>2926</v>
      </c>
      <c r="L44" s="2918" t="s">
        <v>2927</v>
      </c>
      <c r="M44" s="2884"/>
      <c r="N44" s="2918" t="s">
        <v>2928</v>
      </c>
      <c r="O44" s="2884"/>
      <c r="P44" s="2918" t="s">
        <v>2929</v>
      </c>
      <c r="Q44" s="2886">
        <v>1.4999999999999999E-2</v>
      </c>
      <c r="R44" s="28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2107</v>
      </c>
      <c r="B1" s="1856"/>
      <c r="C1" s="1856"/>
      <c r="D1" s="1856"/>
      <c r="E1" s="1857"/>
      <c r="F1" s="2646"/>
      <c r="G1" s="467"/>
      <c r="H1" s="467"/>
      <c r="I1" s="467"/>
      <c r="J1" s="467"/>
      <c r="K1" s="467"/>
      <c r="L1" s="467"/>
      <c r="M1" s="467"/>
      <c r="N1" s="467"/>
      <c r="O1" s="467"/>
      <c r="P1" s="467"/>
      <c r="Q1" s="467"/>
      <c r="R1" s="467"/>
      <c r="S1" s="467"/>
    </row>
    <row r="2" spans="1:22" ht="15.75">
      <c r="A2" s="1858" t="s">
        <v>1908</v>
      </c>
      <c r="B2" s="918">
        <f ca="1">SUMIF(B6:B13,"&lt;&gt;#ref!",B6:B13)</f>
        <v>0</v>
      </c>
      <c r="C2" s="1859" t="s">
        <v>2100</v>
      </c>
      <c r="D2" s="1860" t="s">
        <v>2101</v>
      </c>
      <c r="E2" s="2558">
        <f>SUM(E6:E13)</f>
        <v>0</v>
      </c>
      <c r="F2" s="2646"/>
      <c r="G2" s="467"/>
      <c r="H2" s="467"/>
      <c r="I2" s="467"/>
      <c r="J2" s="467"/>
      <c r="K2" s="467"/>
      <c r="L2" s="467"/>
      <c r="M2" s="467"/>
      <c r="N2" s="467"/>
      <c r="O2" s="467"/>
      <c r="P2" s="467"/>
      <c r="Q2" s="467"/>
      <c r="R2" s="467"/>
      <c r="S2" s="467"/>
    </row>
    <row r="3" spans="1:22" ht="15.75">
      <c r="A3" s="1858" t="s">
        <v>1119</v>
      </c>
      <c r="B3" s="2552" t="e">
        <f ca="1">ROUND(B2*10000/E2,0)</f>
        <v>#DIV/0!</v>
      </c>
      <c r="C3" s="1859" t="s">
        <v>2108</v>
      </c>
      <c r="D3" s="2646"/>
      <c r="E3" s="2649"/>
      <c r="F3" s="2646"/>
      <c r="G3" s="467"/>
      <c r="H3" s="467"/>
      <c r="I3" s="467"/>
      <c r="J3" s="467"/>
      <c r="K3" s="467"/>
      <c r="L3" s="467"/>
      <c r="M3" s="467"/>
      <c r="N3" s="467"/>
      <c r="O3" s="467"/>
      <c r="P3" s="467"/>
      <c r="Q3" s="467"/>
      <c r="R3" s="467"/>
      <c r="S3" s="467"/>
    </row>
    <row r="4" spans="1:22" ht="15.75">
      <c r="A4" s="2650"/>
      <c r="B4" s="2646"/>
      <c r="C4" s="2646"/>
      <c r="D4" s="2646"/>
      <c r="E4" s="2649"/>
      <c r="F4" s="2646"/>
      <c r="G4" s="467"/>
      <c r="H4" s="467"/>
      <c r="I4" s="467"/>
      <c r="J4" s="467"/>
      <c r="K4" s="467"/>
      <c r="L4" s="467"/>
      <c r="M4" s="467"/>
      <c r="N4" s="467"/>
      <c r="O4" s="467"/>
      <c r="P4" s="467"/>
      <c r="Q4" s="467"/>
      <c r="R4" s="467"/>
      <c r="S4" s="467"/>
    </row>
    <row r="5" spans="1:22" ht="15">
      <c r="A5" s="2554" t="s">
        <v>2102</v>
      </c>
      <c r="B5" s="3210" t="s">
        <v>2103</v>
      </c>
      <c r="C5" s="3211"/>
      <c r="D5" s="2647"/>
      <c r="E5" s="1861" t="s">
        <v>2104</v>
      </c>
      <c r="F5" s="134" t="s">
        <v>2105</v>
      </c>
      <c r="G5" s="467"/>
      <c r="H5" s="467"/>
      <c r="I5" s="467"/>
      <c r="J5" s="467"/>
      <c r="K5" s="467"/>
      <c r="L5" s="467"/>
      <c r="M5" s="467"/>
      <c r="N5" s="467"/>
      <c r="O5" s="467"/>
      <c r="P5" s="467"/>
      <c r="Q5" s="467"/>
      <c r="R5" s="467"/>
      <c r="S5" s="467"/>
    </row>
    <row r="6" spans="1:22">
      <c r="A6" s="2555">
        <f>'数据-取费表'!AN6</f>
        <v>0</v>
      </c>
      <c r="B6" s="2553" t="e">
        <f ca="1">IF(F6="是",'数据-取费表'!AO6,0)</f>
        <v>#REF!</v>
      </c>
      <c r="C6" s="1859" t="s">
        <v>2100</v>
      </c>
      <c r="D6" s="2646"/>
      <c r="E6" s="2557">
        <f>IF(OR(A6=0,F6="否"),0,'数据-取费表'!K6+'数据-取费表'!S6)</f>
        <v>0</v>
      </c>
      <c r="F6" s="1862" t="s">
        <v>2106</v>
      </c>
      <c r="G6" s="467"/>
      <c r="H6" s="467"/>
      <c r="I6" s="467"/>
      <c r="J6" s="467"/>
      <c r="K6" s="467"/>
      <c r="L6" s="467"/>
      <c r="M6" s="467"/>
      <c r="N6" s="467"/>
      <c r="O6" s="467"/>
      <c r="P6" s="467"/>
      <c r="Q6" s="467"/>
      <c r="R6" s="467"/>
      <c r="S6" s="467"/>
    </row>
    <row r="7" spans="1:22">
      <c r="A7" s="2555">
        <f>'数据-取费表'!AN7</f>
        <v>0</v>
      </c>
      <c r="B7" s="2553" t="e">
        <f ca="1">IF(F7="是",'数据-取费表'!AO7,0)</f>
        <v>#REF!</v>
      </c>
      <c r="C7" s="1859" t="s">
        <v>2100</v>
      </c>
      <c r="D7" s="2646"/>
      <c r="E7" s="2557">
        <f>IF(OR(A7=0,F7="否"),0,'数据-取费表'!K7+'数据-取费表'!S7)</f>
        <v>0</v>
      </c>
      <c r="F7" s="1862" t="s">
        <v>2106</v>
      </c>
      <c r="G7" s="467"/>
      <c r="H7" s="467"/>
      <c r="I7" s="467"/>
      <c r="J7" s="467"/>
      <c r="K7" s="467"/>
      <c r="L7" s="467"/>
      <c r="M7" s="467"/>
      <c r="N7" s="467"/>
      <c r="O7" s="467"/>
      <c r="P7" s="467"/>
      <c r="Q7" s="467"/>
      <c r="R7" s="467"/>
      <c r="S7" s="467"/>
    </row>
    <row r="8" spans="1:22">
      <c r="A8" s="2555">
        <f>'数据-取费表'!AN8</f>
        <v>0</v>
      </c>
      <c r="B8" s="2553" t="e">
        <f ca="1">IF(F8="是",'数据-取费表'!AO8,0)</f>
        <v>#REF!</v>
      </c>
      <c r="C8" s="1859" t="s">
        <v>2100</v>
      </c>
      <c r="D8" s="2646"/>
      <c r="E8" s="2557">
        <f>IF(OR(A8=0,F8="否"),0,'数据-取费表'!K8+'数据-取费表'!S8)</f>
        <v>0</v>
      </c>
      <c r="F8" s="1862" t="s">
        <v>2106</v>
      </c>
      <c r="G8" s="467"/>
      <c r="H8" s="467"/>
      <c r="I8" s="467"/>
      <c r="J8" s="467"/>
      <c r="K8" s="467"/>
      <c r="L8" s="467"/>
      <c r="M8" s="467"/>
      <c r="N8" s="467"/>
      <c r="O8" s="467"/>
      <c r="P8" s="467"/>
      <c r="Q8" s="467"/>
      <c r="R8" s="467"/>
      <c r="S8" s="467"/>
    </row>
    <row r="9" spans="1:22">
      <c r="A9" s="2555">
        <f>'数据-取费表'!AN9</f>
        <v>0</v>
      </c>
      <c r="B9" s="2553" t="e">
        <f ca="1">IF(F9="是",'数据-取费表'!AO9,0)</f>
        <v>#REF!</v>
      </c>
      <c r="C9" s="1859" t="s">
        <v>2100</v>
      </c>
      <c r="D9" s="2646"/>
      <c r="E9" s="2557">
        <f>IF(OR(A9=0,F9="否"),0,'数据-取费表'!K9+'数据-取费表'!S9)</f>
        <v>0</v>
      </c>
      <c r="F9" s="1862" t="s">
        <v>2106</v>
      </c>
      <c r="G9" s="467"/>
      <c r="H9" s="467"/>
      <c r="I9" s="467"/>
      <c r="J9" s="467"/>
      <c r="K9" s="467"/>
      <c r="L9" s="467"/>
      <c r="M9" s="467"/>
      <c r="N9" s="467"/>
      <c r="O9" s="467"/>
      <c r="P9" s="467"/>
      <c r="Q9" s="467"/>
      <c r="R9" s="467"/>
      <c r="S9" s="467"/>
    </row>
    <row r="10" spans="1:22">
      <c r="A10" s="2555">
        <f>'数据-取费表'!AN10</f>
        <v>0</v>
      </c>
      <c r="B10" s="2553" t="e">
        <f ca="1">IF(F10="是",'数据-取费表'!AO10,0)</f>
        <v>#REF!</v>
      </c>
      <c r="C10" s="1859" t="s">
        <v>2100</v>
      </c>
      <c r="D10" s="2646"/>
      <c r="E10" s="2557">
        <f>IF(OR(A10=0,F10="否"),0,'数据-取费表'!K10+'数据-取费表'!S10)</f>
        <v>0</v>
      </c>
      <c r="F10" s="1862" t="s">
        <v>2106</v>
      </c>
      <c r="G10" s="467"/>
      <c r="H10" s="467"/>
      <c r="I10" s="467"/>
      <c r="J10" s="467"/>
      <c r="K10" s="467"/>
      <c r="L10" s="467"/>
      <c r="M10" s="467"/>
      <c r="N10" s="467"/>
      <c r="O10" s="467"/>
      <c r="P10" s="467"/>
      <c r="Q10" s="467"/>
      <c r="R10" s="467"/>
      <c r="S10" s="467"/>
    </row>
    <row r="11" spans="1:22">
      <c r="A11" s="2555">
        <f>'数据-取费表'!AN11</f>
        <v>0</v>
      </c>
      <c r="B11" s="2553" t="e">
        <f ca="1">IF(F11="是",'数据-取费表'!AO11,0)</f>
        <v>#REF!</v>
      </c>
      <c r="C11" s="1859" t="s">
        <v>2100</v>
      </c>
      <c r="D11" s="2646"/>
      <c r="E11" s="2557">
        <f>IF(OR(A11=0,F11="否"),0,'数据-取费表'!K11+'数据-取费表'!S11)</f>
        <v>0</v>
      </c>
      <c r="F11" s="1862" t="s">
        <v>2106</v>
      </c>
      <c r="G11" s="467"/>
      <c r="H11" s="467"/>
      <c r="I11" s="467"/>
      <c r="J11" s="467"/>
      <c r="K11" s="467"/>
      <c r="L11" s="467"/>
      <c r="M11" s="467"/>
      <c r="N11" s="467"/>
      <c r="O11" s="467"/>
      <c r="P11" s="467"/>
      <c r="Q11" s="467"/>
      <c r="R11" s="467"/>
      <c r="S11" s="467"/>
    </row>
    <row r="12" spans="1:22">
      <c r="A12" s="2555">
        <f>'数据-取费表'!AN12</f>
        <v>0</v>
      </c>
      <c r="B12" s="2553" t="e">
        <f ca="1">IF(F12="是",'数据-取费表'!AO12,0)</f>
        <v>#REF!</v>
      </c>
      <c r="C12" s="1859" t="s">
        <v>2100</v>
      </c>
      <c r="D12" s="2646"/>
      <c r="E12" s="2557">
        <f>IF(OR(A12=0,F12="否"),0,'数据-取费表'!K12+'数据-取费表'!S12)</f>
        <v>0</v>
      </c>
      <c r="F12" s="1862" t="s">
        <v>2106</v>
      </c>
      <c r="G12" s="467"/>
      <c r="H12" s="467"/>
      <c r="I12" s="467"/>
      <c r="J12" s="467"/>
      <c r="K12" s="467"/>
      <c r="L12" s="467"/>
      <c r="M12" s="467"/>
      <c r="N12" s="467"/>
      <c r="O12" s="467"/>
      <c r="P12" s="467"/>
      <c r="Q12" s="467"/>
      <c r="R12" s="467"/>
      <c r="S12" s="467"/>
    </row>
    <row r="13" spans="1:22" ht="15" thickBot="1">
      <c r="A13" s="2556">
        <f>'数据-取费表'!AN13</f>
        <v>0</v>
      </c>
      <c r="B13" s="2553" t="e">
        <f ca="1">IF(F13="是",'数据-取费表'!AO13,0)</f>
        <v>#REF!</v>
      </c>
      <c r="C13" s="1863" t="s">
        <v>2100</v>
      </c>
      <c r="D13" s="2648"/>
      <c r="E13" s="2557">
        <f>IF(OR(A13=0,F13="否"),0,'数据-取费表'!K13+'数据-取费表'!S13)</f>
        <v>0</v>
      </c>
      <c r="F13" s="1862" t="s">
        <v>2106</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1899"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2109</v>
      </c>
      <c r="B1" s="1864" t="s">
        <v>2110</v>
      </c>
      <c r="C1" s="1270" t="s">
        <v>2111</v>
      </c>
      <c r="D1" s="1257"/>
      <c r="E1" s="2307"/>
      <c r="F1" s="1865" t="s">
        <v>2112</v>
      </c>
      <c r="G1" s="1267" t="s">
        <v>2113</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2114</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2115</v>
      </c>
      <c r="D3" s="349">
        <f>IF(D1="",'数据-汇总表'!E3,SUMIF('数据-汇总表'!$C19:$C33,D1,'数据-汇总表'!$E19:$E33))</f>
        <v>11320.8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ht="15">
      <c r="A4" s="351" t="s">
        <v>2116</v>
      </c>
      <c r="B4" s="352"/>
      <c r="C4" s="3230" t="s">
        <v>2117</v>
      </c>
      <c r="D4" s="3231"/>
      <c r="E4" s="3232" t="s">
        <v>2118</v>
      </c>
      <c r="F4" s="3233"/>
      <c r="G4" s="3230" t="s">
        <v>2119</v>
      </c>
      <c r="H4" s="3231"/>
      <c r="I4" s="3230" t="s">
        <v>2120</v>
      </c>
      <c r="J4" s="3231"/>
      <c r="K4" s="1874" t="s">
        <v>2121</v>
      </c>
      <c r="L4" s="2653"/>
      <c r="M4" s="2654"/>
      <c r="N4" s="2654"/>
      <c r="O4" s="2654"/>
      <c r="P4" s="3234" t="s">
        <v>2122</v>
      </c>
      <c r="Q4" s="3235"/>
      <c r="R4" s="3217" t="s">
        <v>2118</v>
      </c>
      <c r="S4" s="3218"/>
      <c r="T4" s="3217" t="s">
        <v>2119</v>
      </c>
      <c r="U4" s="3218"/>
      <c r="V4" s="3242" t="s">
        <v>2120</v>
      </c>
      <c r="W4" s="3242"/>
      <c r="X4" s="1394"/>
      <c r="Y4" s="3217" t="s">
        <v>2122</v>
      </c>
      <c r="Z4" s="3218"/>
      <c r="AA4" s="3212" t="s">
        <v>2118</v>
      </c>
      <c r="AB4" s="3212" t="s">
        <v>2119</v>
      </c>
      <c r="AC4" s="3212" t="s">
        <v>2120</v>
      </c>
    </row>
    <row r="5" spans="1:29" ht="15">
      <c r="A5" s="354"/>
      <c r="B5" s="355"/>
      <c r="C5" s="3223" t="s">
        <v>2123</v>
      </c>
      <c r="D5" s="3224"/>
      <c r="E5" s="3221" t="s">
        <v>2124</v>
      </c>
      <c r="F5" s="3222"/>
      <c r="G5" s="3223" t="s">
        <v>2125</v>
      </c>
      <c r="H5" s="3224"/>
      <c r="I5" s="3223" t="s">
        <v>2126</v>
      </c>
      <c r="J5" s="3224"/>
      <c r="K5" s="1875"/>
      <c r="L5" s="2653"/>
      <c r="M5" s="2654"/>
      <c r="N5" s="2654"/>
      <c r="O5" s="2654"/>
      <c r="P5" s="3236"/>
      <c r="Q5" s="3237"/>
      <c r="R5" s="3219"/>
      <c r="S5" s="3220"/>
      <c r="T5" s="3219"/>
      <c r="U5" s="3220"/>
      <c r="V5" s="3242"/>
      <c r="W5" s="3242"/>
      <c r="X5" s="1394"/>
      <c r="Y5" s="3219"/>
      <c r="Z5" s="3220"/>
      <c r="AA5" s="3213"/>
      <c r="AB5" s="3213"/>
      <c r="AC5" s="3213"/>
    </row>
    <row r="6" spans="1:29" ht="15.75" thickBot="1">
      <c r="A6" s="356"/>
      <c r="B6" s="357"/>
      <c r="C6" s="3225" t="s">
        <v>2127</v>
      </c>
      <c r="D6" s="3226"/>
      <c r="E6" s="3227" t="s">
        <v>2127</v>
      </c>
      <c r="F6" s="3228"/>
      <c r="G6" s="3225" t="s">
        <v>2127</v>
      </c>
      <c r="H6" s="3226"/>
      <c r="I6" s="3225" t="s">
        <v>2127</v>
      </c>
      <c r="J6" s="3226"/>
      <c r="K6" s="1875" t="s">
        <v>2128</v>
      </c>
      <c r="L6" s="2653"/>
      <c r="M6" s="2654"/>
      <c r="N6" s="2654"/>
      <c r="O6" s="2654"/>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1876"/>
      <c r="L7" s="2655"/>
      <c r="M7" s="2606"/>
      <c r="N7" s="2606"/>
      <c r="O7" s="2606"/>
      <c r="P7" s="3215" t="s">
        <v>2130</v>
      </c>
      <c r="Q7" s="3243"/>
      <c r="R7" s="673" t="s">
        <v>23</v>
      </c>
      <c r="S7" s="674">
        <f t="shared" ref="S7:S15" si="0">F7</f>
        <v>0</v>
      </c>
      <c r="T7" s="673" t="s">
        <v>23</v>
      </c>
      <c r="U7" s="674">
        <f t="shared" ref="U7:U15" si="1">H7</f>
        <v>0</v>
      </c>
      <c r="V7" s="673" t="s">
        <v>23</v>
      </c>
      <c r="W7" s="674">
        <f t="shared" ref="W7:W15" si="2">J7</f>
        <v>0</v>
      </c>
      <c r="X7" s="675"/>
      <c r="Y7" s="3215" t="s">
        <v>2130</v>
      </c>
      <c r="Z7" s="3216"/>
      <c r="AA7" s="53" t="e">
        <f>D7/F7</f>
        <v>#DIV/0!</v>
      </c>
      <c r="AB7" s="53" t="e">
        <f>D7/H7</f>
        <v>#DIV/0!</v>
      </c>
      <c r="AC7" s="53" t="e">
        <f>D7/J7</f>
        <v>#DIV/0!</v>
      </c>
    </row>
    <row r="8" spans="1:29" s="107" customFormat="1" ht="15.75" thickBot="1">
      <c r="A8" s="358" t="s">
        <v>2131</v>
      </c>
      <c r="B8" s="359"/>
      <c r="C8" s="364" t="s">
        <v>2132</v>
      </c>
      <c r="D8" s="361">
        <v>100</v>
      </c>
      <c r="E8" s="1877"/>
      <c r="F8" s="363">
        <f>SUMIF(61:61,E8,62:62)-SUMIF(61:61,C8,62:62)+100</f>
        <v>0</v>
      </c>
      <c r="G8" s="364"/>
      <c r="H8" s="361">
        <f>SUMIF(61:61,G8,62:62)-SUMIF(61:61,C8,62:62)+100</f>
        <v>0</v>
      </c>
      <c r="I8" s="1877"/>
      <c r="J8" s="361">
        <f>SUMIF(61:61,I8,62:62)-SUMIF(61:61,C8,62:62)+100</f>
        <v>0</v>
      </c>
      <c r="K8" s="1876"/>
      <c r="L8" s="2655"/>
      <c r="M8" s="2606"/>
      <c r="N8" s="2606"/>
      <c r="O8" s="2606"/>
      <c r="P8" s="3215" t="s">
        <v>2133</v>
      </c>
      <c r="Q8" s="3216"/>
      <c r="R8" s="673" t="s">
        <v>23</v>
      </c>
      <c r="S8" s="674">
        <f t="shared" si="0"/>
        <v>0</v>
      </c>
      <c r="T8" s="673" t="s">
        <v>23</v>
      </c>
      <c r="U8" s="674">
        <f t="shared" si="1"/>
        <v>0</v>
      </c>
      <c r="V8" s="673" t="s">
        <v>23</v>
      </c>
      <c r="W8" s="674">
        <f t="shared" si="2"/>
        <v>0</v>
      </c>
      <c r="X8" s="675"/>
      <c r="Y8" s="3215" t="s">
        <v>2133</v>
      </c>
      <c r="Z8" s="3216"/>
      <c r="AA8" s="53" t="e">
        <f t="shared" ref="AA8:AA19" si="3">D8/F8</f>
        <v>#DIV/0!</v>
      </c>
      <c r="AB8" s="53" t="e">
        <f t="shared" ref="AB8:AB19" si="4">D8/H8</f>
        <v>#DIV/0!</v>
      </c>
      <c r="AC8" s="53" t="e">
        <f t="shared" ref="AC8:AC19" si="5">D8/J8</f>
        <v>#DIV/0!</v>
      </c>
    </row>
    <row r="9" spans="1:29" s="107" customFormat="1">
      <c r="A9" s="365" t="s">
        <v>2134</v>
      </c>
      <c r="B9" s="64" t="s">
        <v>2135</v>
      </c>
      <c r="C9" s="366"/>
      <c r="D9" s="63">
        <v>100</v>
      </c>
      <c r="E9" s="367"/>
      <c r="F9" s="64">
        <f>SUMIF(63:63,E9,64:64)-SUMIF(63:63,C9,64:64)+100</f>
        <v>100</v>
      </c>
      <c r="G9" s="368"/>
      <c r="H9" s="63">
        <f>SUMIF(63:63,G9,64:64)-SUMIF(63:63,C9,64:64)+100</f>
        <v>100</v>
      </c>
      <c r="I9" s="368"/>
      <c r="J9" s="63">
        <f>SUMIF(63:63,I9,64:64)-SUMIF(63:63,C9,64:64)+100</f>
        <v>100</v>
      </c>
      <c r="K9" s="1876"/>
      <c r="L9" s="2655"/>
      <c r="M9" s="2606"/>
      <c r="N9" s="2606"/>
      <c r="O9" s="2606"/>
      <c r="P9" s="3229"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53">
        <f t="shared" si="5"/>
        <v>1</v>
      </c>
    </row>
    <row r="10" spans="1:29" s="374" customFormat="1" ht="27">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29"/>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53">
        <f t="shared" si="5"/>
        <v>1</v>
      </c>
    </row>
    <row r="11" spans="1:29" ht="1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29"/>
      <c r="Q11" s="538" t="str">
        <f t="shared" si="6"/>
        <v>容积率</v>
      </c>
      <c r="R11" s="673" t="s">
        <v>21</v>
      </c>
      <c r="S11" s="674" t="e">
        <f t="shared" si="0"/>
        <v>#N/A</v>
      </c>
      <c r="T11" s="673" t="s">
        <v>21</v>
      </c>
      <c r="U11" s="674" t="e">
        <f t="shared" si="1"/>
        <v>#N/A</v>
      </c>
      <c r="V11" s="673" t="s">
        <v>21</v>
      </c>
      <c r="W11" s="674" t="e">
        <f t="shared" si="2"/>
        <v>#N/A</v>
      </c>
      <c r="X11" s="675"/>
      <c r="Y11" s="3159"/>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6"/>
      <c r="N12" s="2606"/>
      <c r="O12" s="2606"/>
      <c r="P12" s="3229"/>
      <c r="Q12" s="538">
        <f t="shared" si="6"/>
        <v>111</v>
      </c>
      <c r="R12" s="673" t="s">
        <v>21</v>
      </c>
      <c r="S12" s="674">
        <f t="shared" si="0"/>
        <v>100</v>
      </c>
      <c r="T12" s="673" t="s">
        <v>21</v>
      </c>
      <c r="U12" s="674">
        <f t="shared" si="1"/>
        <v>100</v>
      </c>
      <c r="V12" s="673" t="s">
        <v>21</v>
      </c>
      <c r="W12" s="674">
        <f t="shared" si="2"/>
        <v>100</v>
      </c>
      <c r="X12" s="675"/>
      <c r="Y12" s="3159"/>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29"/>
      <c r="Q13" s="538">
        <f t="shared" si="6"/>
        <v>111</v>
      </c>
      <c r="R13" s="673" t="s">
        <v>21</v>
      </c>
      <c r="S13" s="674">
        <f t="shared" si="0"/>
        <v>100</v>
      </c>
      <c r="T13" s="673" t="s">
        <v>21</v>
      </c>
      <c r="U13" s="674">
        <f t="shared" si="1"/>
        <v>100</v>
      </c>
      <c r="V13" s="673" t="s">
        <v>21</v>
      </c>
      <c r="W13" s="674">
        <f t="shared" si="2"/>
        <v>100</v>
      </c>
      <c r="X13" s="675"/>
      <c r="Y13" s="3159"/>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29"/>
      <c r="Q14" s="538">
        <f t="shared" si="6"/>
        <v>111</v>
      </c>
      <c r="R14" s="673" t="s">
        <v>21</v>
      </c>
      <c r="S14" s="674">
        <f t="shared" si="0"/>
        <v>100</v>
      </c>
      <c r="T14" s="673" t="s">
        <v>21</v>
      </c>
      <c r="U14" s="674">
        <f t="shared" si="1"/>
        <v>100</v>
      </c>
      <c r="V14" s="673" t="s">
        <v>21</v>
      </c>
      <c r="W14" s="674">
        <f t="shared" si="2"/>
        <v>100</v>
      </c>
      <c r="X14" s="675"/>
      <c r="Y14" s="3159"/>
      <c r="Z14" s="53">
        <f t="shared" si="7"/>
        <v>111</v>
      </c>
      <c r="AA14" s="53">
        <f t="shared" si="3"/>
        <v>1</v>
      </c>
      <c r="AB14" s="53">
        <f t="shared" si="4"/>
        <v>1</v>
      </c>
      <c r="AC14" s="53">
        <f t="shared" si="5"/>
        <v>1</v>
      </c>
    </row>
    <row r="15" spans="1:29" ht="99.75">
      <c r="A15" s="387" t="s">
        <v>2140</v>
      </c>
      <c r="B15" s="62" t="s">
        <v>1703</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55" t="s">
        <v>2141</v>
      </c>
      <c r="Q15" s="1392" t="str">
        <f t="shared" si="6"/>
        <v>居住社区成熟度</v>
      </c>
      <c r="R15" s="676" t="s">
        <v>21</v>
      </c>
      <c r="S15" s="677">
        <f t="shared" si="0"/>
        <v>100</v>
      </c>
      <c r="T15" s="676" t="s">
        <v>21</v>
      </c>
      <c r="U15" s="677">
        <f t="shared" si="1"/>
        <v>100</v>
      </c>
      <c r="V15" s="676" t="s">
        <v>21</v>
      </c>
      <c r="W15" s="677">
        <f t="shared" si="2"/>
        <v>100</v>
      </c>
      <c r="X15" s="1394"/>
      <c r="Y15" s="3248" t="s">
        <v>2141</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9"/>
      <c r="M16" s="2654"/>
      <c r="N16" s="2654"/>
      <c r="O16" s="2654"/>
      <c r="P16" s="3256"/>
      <c r="Q16" s="1392"/>
      <c r="R16" s="676"/>
      <c r="S16" s="677"/>
      <c r="T16" s="676"/>
      <c r="U16" s="677"/>
      <c r="V16" s="676"/>
      <c r="W16" s="677"/>
      <c r="X16" s="1394"/>
      <c r="Y16" s="3249"/>
      <c r="Z16" s="1393"/>
      <c r="AA16" s="1393">
        <v>1</v>
      </c>
      <c r="AB16" s="1393">
        <v>1</v>
      </c>
      <c r="AC16" s="1393">
        <v>1</v>
      </c>
    </row>
    <row r="17" spans="1:29" ht="85.5">
      <c r="A17" s="375"/>
      <c r="B17" s="398" t="s">
        <v>1705</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56"/>
      <c r="Q17" s="1392" t="str">
        <f>B17</f>
        <v>交通便捷度</v>
      </c>
      <c r="R17" s="676" t="s">
        <v>21</v>
      </c>
      <c r="S17" s="677">
        <f>F17</f>
        <v>100</v>
      </c>
      <c r="T17" s="676" t="s">
        <v>21</v>
      </c>
      <c r="U17" s="677">
        <f>H17</f>
        <v>100</v>
      </c>
      <c r="V17" s="676" t="s">
        <v>21</v>
      </c>
      <c r="W17" s="677">
        <f>J17</f>
        <v>100</v>
      </c>
      <c r="X17" s="1394"/>
      <c r="Y17" s="3249"/>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9"/>
      <c r="M18" s="2654"/>
      <c r="N18" s="2654"/>
      <c r="O18" s="2654"/>
      <c r="P18" s="3256"/>
      <c r="Q18" s="1392"/>
      <c r="R18" s="676"/>
      <c r="S18" s="677"/>
      <c r="T18" s="676"/>
      <c r="U18" s="677"/>
      <c r="V18" s="676"/>
      <c r="W18" s="677"/>
      <c r="X18" s="1394"/>
      <c r="Y18" s="3249"/>
      <c r="Z18" s="1393"/>
      <c r="AA18" s="1393">
        <v>1</v>
      </c>
      <c r="AB18" s="1393">
        <v>1</v>
      </c>
      <c r="AC18" s="1393">
        <v>1</v>
      </c>
    </row>
    <row r="19" spans="1:29" ht="42.75">
      <c r="A19" s="375"/>
      <c r="B19" s="398" t="s">
        <v>1704</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56"/>
      <c r="Q19" s="1392" t="str">
        <f>B19</f>
        <v>公共配套设施</v>
      </c>
      <c r="R19" s="676" t="s">
        <v>21</v>
      </c>
      <c r="S19" s="677">
        <f>F19</f>
        <v>100</v>
      </c>
      <c r="T19" s="676" t="s">
        <v>21</v>
      </c>
      <c r="U19" s="677">
        <f>H19</f>
        <v>100</v>
      </c>
      <c r="V19" s="676" t="s">
        <v>21</v>
      </c>
      <c r="W19" s="677">
        <f>J19</f>
        <v>100</v>
      </c>
      <c r="X19" s="1394"/>
      <c r="Y19" s="3249"/>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9"/>
      <c r="M20" s="2654"/>
      <c r="N20" s="2654"/>
      <c r="O20" s="2654"/>
      <c r="P20" s="3256"/>
      <c r="Q20" s="1392"/>
      <c r="R20" s="676"/>
      <c r="S20" s="677"/>
      <c r="T20" s="676"/>
      <c r="U20" s="677"/>
      <c r="V20" s="676"/>
      <c r="W20" s="677"/>
      <c r="X20" s="1394"/>
      <c r="Y20" s="3249"/>
      <c r="Z20" s="1393"/>
      <c r="AA20" s="1393">
        <v>1</v>
      </c>
      <c r="AB20" s="1393">
        <v>1</v>
      </c>
      <c r="AC20" s="1393">
        <v>1</v>
      </c>
    </row>
    <row r="21" spans="1:29" ht="28.5">
      <c r="A21" s="375"/>
      <c r="B21" s="594" t="s">
        <v>1706</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56"/>
      <c r="Q21" s="1392" t="str">
        <f>B21</f>
        <v>基础设施水平</v>
      </c>
      <c r="R21" s="676" t="s">
        <v>17</v>
      </c>
      <c r="S21" s="677">
        <f>F21</f>
        <v>100</v>
      </c>
      <c r="T21" s="676" t="s">
        <v>17</v>
      </c>
      <c r="U21" s="677">
        <f>H21</f>
        <v>100</v>
      </c>
      <c r="V21" s="676" t="s">
        <v>17</v>
      </c>
      <c r="W21" s="677">
        <f>J21</f>
        <v>100</v>
      </c>
      <c r="X21" s="1394"/>
      <c r="Y21" s="3249"/>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5"/>
      <c r="G22" s="1888"/>
      <c r="H22" s="395"/>
      <c r="I22" s="394"/>
      <c r="J22" s="395"/>
      <c r="K22" s="1889"/>
      <c r="L22" s="2659"/>
      <c r="M22" s="2654"/>
      <c r="N22" s="2654"/>
      <c r="O22" s="2654"/>
      <c r="P22" s="3256"/>
      <c r="Q22" s="1392"/>
      <c r="R22" s="676"/>
      <c r="S22" s="677"/>
      <c r="T22" s="676"/>
      <c r="U22" s="677"/>
      <c r="V22" s="676"/>
      <c r="W22" s="677"/>
      <c r="X22" s="1394"/>
      <c r="Y22" s="3249"/>
      <c r="Z22" s="1393"/>
      <c r="AA22" s="1393">
        <v>1</v>
      </c>
      <c r="AB22" s="1393">
        <v>1</v>
      </c>
      <c r="AC22" s="1393">
        <v>1</v>
      </c>
    </row>
    <row r="23" spans="1:29" ht="57">
      <c r="A23" s="375"/>
      <c r="B23" s="398" t="s">
        <v>1707</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56"/>
      <c r="Q23" s="1392" t="str">
        <f>B23</f>
        <v>自然及人文环境</v>
      </c>
      <c r="R23" s="676" t="s">
        <v>21</v>
      </c>
      <c r="S23" s="677">
        <f>F23</f>
        <v>100</v>
      </c>
      <c r="T23" s="676" t="s">
        <v>21</v>
      </c>
      <c r="U23" s="677">
        <f>H23</f>
        <v>100</v>
      </c>
      <c r="V23" s="676" t="s">
        <v>21</v>
      </c>
      <c r="W23" s="677">
        <f>J23</f>
        <v>100</v>
      </c>
      <c r="X23" s="1394"/>
      <c r="Y23" s="3249"/>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9"/>
      <c r="M24" s="2654"/>
      <c r="N24" s="2654"/>
      <c r="O24" s="2654"/>
      <c r="P24" s="3256"/>
      <c r="Q24" s="1392"/>
      <c r="R24" s="676"/>
      <c r="S24" s="677"/>
      <c r="T24" s="676"/>
      <c r="U24" s="677"/>
      <c r="V24" s="676"/>
      <c r="W24" s="677"/>
      <c r="X24" s="1394"/>
      <c r="Y24" s="3249"/>
      <c r="Z24" s="1393"/>
      <c r="AA24" s="1393">
        <v>1</v>
      </c>
      <c r="AB24" s="1393">
        <v>1</v>
      </c>
      <c r="AC24" s="1393">
        <v>1</v>
      </c>
    </row>
    <row r="25" spans="1:29" ht="15">
      <c r="A25" s="375"/>
      <c r="B25" s="370" t="s">
        <v>2142</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56"/>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49"/>
      <c r="Z25" s="1393" t="str">
        <f>Q25</f>
        <v>楼层-1</v>
      </c>
      <c r="AA25" s="1393">
        <f t="shared" ref="AA25:AA46" si="15">D25/F25</f>
        <v>1</v>
      </c>
      <c r="AB25" s="1393">
        <f t="shared" ref="AB25:AB46" si="16">D25/H25</f>
        <v>1</v>
      </c>
      <c r="AC25" s="1393">
        <f t="shared" ref="AC25:AC46" si="17">D25/J25</f>
        <v>1</v>
      </c>
    </row>
    <row r="26" spans="1:29" ht="15">
      <c r="A26" s="375"/>
      <c r="B26" s="370" t="s">
        <v>2143</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56"/>
      <c r="Q26" s="1392" t="str">
        <f t="shared" si="11"/>
        <v>朝向</v>
      </c>
      <c r="R26" s="676" t="s">
        <v>21</v>
      </c>
      <c r="S26" s="677">
        <f t="shared" si="12"/>
        <v>100</v>
      </c>
      <c r="T26" s="676" t="s">
        <v>21</v>
      </c>
      <c r="U26" s="677">
        <f t="shared" si="13"/>
        <v>100</v>
      </c>
      <c r="V26" s="676" t="s">
        <v>21</v>
      </c>
      <c r="W26" s="677">
        <f t="shared" si="14"/>
        <v>100</v>
      </c>
      <c r="X26" s="1394"/>
      <c r="Y26" s="3249"/>
      <c r="Z26" s="1393" t="str">
        <f>Q26</f>
        <v>朝向</v>
      </c>
      <c r="AA26" s="1393">
        <f t="shared" si="15"/>
        <v>1</v>
      </c>
      <c r="AB26" s="1393">
        <f t="shared" si="16"/>
        <v>1</v>
      </c>
      <c r="AC26" s="1393">
        <f t="shared" si="17"/>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6"/>
      <c r="N27" s="2606"/>
      <c r="O27" s="2606"/>
      <c r="P27" s="3256"/>
      <c r="Q27" s="538">
        <f t="shared" si="11"/>
        <v>111</v>
      </c>
      <c r="R27" s="673" t="s">
        <v>21</v>
      </c>
      <c r="S27" s="674">
        <f t="shared" si="12"/>
        <v>100</v>
      </c>
      <c r="T27" s="673" t="s">
        <v>21</v>
      </c>
      <c r="U27" s="674">
        <f t="shared" si="13"/>
        <v>100</v>
      </c>
      <c r="V27" s="673" t="s">
        <v>21</v>
      </c>
      <c r="W27" s="674">
        <f t="shared" si="14"/>
        <v>100</v>
      </c>
      <c r="X27" s="675"/>
      <c r="Y27" s="3249"/>
      <c r="Z27" s="53">
        <f>Q27</f>
        <v>111</v>
      </c>
      <c r="AA27" s="1393">
        <f t="shared" si="15"/>
        <v>1</v>
      </c>
      <c r="AB27" s="1393">
        <f t="shared" si="16"/>
        <v>1</v>
      </c>
      <c r="AC27" s="1393">
        <f t="shared" si="17"/>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56"/>
      <c r="Q28" s="1392">
        <f t="shared" si="11"/>
        <v>111</v>
      </c>
      <c r="R28" s="676" t="s">
        <v>21</v>
      </c>
      <c r="S28" s="677">
        <f t="shared" si="12"/>
        <v>100</v>
      </c>
      <c r="T28" s="676" t="s">
        <v>21</v>
      </c>
      <c r="U28" s="677">
        <f t="shared" si="13"/>
        <v>100</v>
      </c>
      <c r="V28" s="676" t="s">
        <v>21</v>
      </c>
      <c r="W28" s="677">
        <f t="shared" si="14"/>
        <v>100</v>
      </c>
      <c r="X28" s="1394"/>
      <c r="Y28" s="3249"/>
      <c r="Z28" s="1393">
        <f t="shared" ref="Z28:Z46" si="18">Q28</f>
        <v>111</v>
      </c>
      <c r="AA28" s="1393">
        <f t="shared" si="15"/>
        <v>1</v>
      </c>
      <c r="AB28" s="1393">
        <f t="shared" si="16"/>
        <v>1</v>
      </c>
      <c r="AC28" s="1393">
        <f t="shared" si="17"/>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56"/>
      <c r="Q29" s="1392">
        <f t="shared" si="11"/>
        <v>111</v>
      </c>
      <c r="R29" s="676" t="s">
        <v>21</v>
      </c>
      <c r="S29" s="677">
        <f t="shared" si="12"/>
        <v>100</v>
      </c>
      <c r="T29" s="676" t="s">
        <v>21</v>
      </c>
      <c r="U29" s="677">
        <f t="shared" si="13"/>
        <v>100</v>
      </c>
      <c r="V29" s="676" t="s">
        <v>21</v>
      </c>
      <c r="W29" s="677">
        <f t="shared" si="14"/>
        <v>100</v>
      </c>
      <c r="X29" s="1394"/>
      <c r="Y29" s="3249"/>
      <c r="Z29" s="1393">
        <f t="shared" si="18"/>
        <v>111</v>
      </c>
      <c r="AA29" s="1393">
        <f t="shared" si="15"/>
        <v>1</v>
      </c>
      <c r="AB29" s="1393">
        <f t="shared" si="16"/>
        <v>1</v>
      </c>
      <c r="AC29" s="1393">
        <f t="shared" si="17"/>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56"/>
      <c r="Q30" s="1392">
        <f t="shared" si="11"/>
        <v>111</v>
      </c>
      <c r="R30" s="676" t="s">
        <v>21</v>
      </c>
      <c r="S30" s="677">
        <f t="shared" si="12"/>
        <v>100</v>
      </c>
      <c r="T30" s="676" t="s">
        <v>21</v>
      </c>
      <c r="U30" s="677">
        <f t="shared" si="13"/>
        <v>100</v>
      </c>
      <c r="V30" s="676" t="s">
        <v>21</v>
      </c>
      <c r="W30" s="677">
        <f t="shared" si="14"/>
        <v>100</v>
      </c>
      <c r="X30" s="1394"/>
      <c r="Y30" s="3249"/>
      <c r="Z30" s="1393">
        <f t="shared" si="18"/>
        <v>111</v>
      </c>
      <c r="AA30" s="1393">
        <f t="shared" si="15"/>
        <v>1</v>
      </c>
      <c r="AB30" s="1393">
        <f t="shared" si="16"/>
        <v>1</v>
      </c>
      <c r="AC30" s="1393">
        <f t="shared" si="17"/>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56"/>
      <c r="Q31" s="1392">
        <f t="shared" si="11"/>
        <v>111</v>
      </c>
      <c r="R31" s="676" t="s">
        <v>21</v>
      </c>
      <c r="S31" s="677">
        <f t="shared" si="12"/>
        <v>100</v>
      </c>
      <c r="T31" s="676" t="s">
        <v>21</v>
      </c>
      <c r="U31" s="677">
        <f t="shared" si="13"/>
        <v>100</v>
      </c>
      <c r="V31" s="676" t="s">
        <v>21</v>
      </c>
      <c r="W31" s="677">
        <f t="shared" si="14"/>
        <v>100</v>
      </c>
      <c r="X31" s="1394"/>
      <c r="Y31" s="3249"/>
      <c r="Z31" s="1393">
        <f t="shared" si="18"/>
        <v>111</v>
      </c>
      <c r="AA31" s="1393">
        <f t="shared" si="15"/>
        <v>1</v>
      </c>
      <c r="AB31" s="1393">
        <f t="shared" si="16"/>
        <v>1</v>
      </c>
      <c r="AC31" s="1393">
        <f t="shared" si="17"/>
        <v>1</v>
      </c>
    </row>
    <row r="32" spans="1:29" ht="15">
      <c r="A32" s="387" t="s">
        <v>2144</v>
      </c>
      <c r="B32" s="64" t="s">
        <v>2145</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50" t="s">
        <v>2146</v>
      </c>
      <c r="Q32" s="1392" t="str">
        <f t="shared" si="11"/>
        <v>建筑类型</v>
      </c>
      <c r="R32" s="676" t="s">
        <v>21</v>
      </c>
      <c r="S32" s="677">
        <f t="shared" si="12"/>
        <v>100</v>
      </c>
      <c r="T32" s="676" t="s">
        <v>21</v>
      </c>
      <c r="U32" s="677">
        <f t="shared" si="13"/>
        <v>100</v>
      </c>
      <c r="V32" s="676" t="s">
        <v>21</v>
      </c>
      <c r="W32" s="677">
        <f t="shared" si="14"/>
        <v>100</v>
      </c>
      <c r="X32" s="1394"/>
      <c r="Y32" s="3253" t="s">
        <v>2146</v>
      </c>
      <c r="Z32" s="1393" t="str">
        <f t="shared" si="18"/>
        <v>建筑类型</v>
      </c>
      <c r="AA32" s="1393">
        <f t="shared" si="15"/>
        <v>1</v>
      </c>
      <c r="AB32" s="1393">
        <f t="shared" si="16"/>
        <v>1</v>
      </c>
      <c r="AC32" s="1393">
        <f t="shared" si="17"/>
        <v>1</v>
      </c>
    </row>
    <row r="33" spans="1:29" s="416" customFormat="1" ht="15">
      <c r="A33" s="414"/>
      <c r="B33" s="370" t="s">
        <v>2147</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51"/>
      <c r="Q33" s="539" t="str">
        <f t="shared" si="11"/>
        <v>项目建筑规模</v>
      </c>
      <c r="R33" s="678" t="s">
        <v>21</v>
      </c>
      <c r="S33" s="679" t="e">
        <f t="shared" si="12"/>
        <v>#N/A</v>
      </c>
      <c r="T33" s="678" t="s">
        <v>21</v>
      </c>
      <c r="U33" s="679" t="e">
        <f t="shared" si="13"/>
        <v>#N/A</v>
      </c>
      <c r="V33" s="678" t="s">
        <v>21</v>
      </c>
      <c r="W33" s="679" t="e">
        <f t="shared" si="14"/>
        <v>#N/A</v>
      </c>
      <c r="X33" s="680"/>
      <c r="Y33" s="3253"/>
      <c r="Z33" s="681" t="str">
        <f t="shared" si="18"/>
        <v>项目建筑规模</v>
      </c>
      <c r="AA33" s="1393" t="e">
        <f t="shared" si="15"/>
        <v>#N/A</v>
      </c>
      <c r="AB33" s="1393" t="e">
        <f t="shared" si="16"/>
        <v>#N/A</v>
      </c>
      <c r="AC33" s="1393" t="e">
        <f t="shared" si="17"/>
        <v>#N/A</v>
      </c>
    </row>
    <row r="34" spans="1:29" ht="15">
      <c r="A34" s="417"/>
      <c r="B34" s="370" t="s">
        <v>2148</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51"/>
      <c r="Q34" s="1392" t="str">
        <f t="shared" si="11"/>
        <v>建筑结构</v>
      </c>
      <c r="R34" s="676" t="s">
        <v>21</v>
      </c>
      <c r="S34" s="677">
        <f t="shared" si="12"/>
        <v>100</v>
      </c>
      <c r="T34" s="676" t="s">
        <v>21</v>
      </c>
      <c r="U34" s="677">
        <f t="shared" si="13"/>
        <v>100</v>
      </c>
      <c r="V34" s="676" t="s">
        <v>21</v>
      </c>
      <c r="W34" s="677">
        <f t="shared" si="14"/>
        <v>100</v>
      </c>
      <c r="X34" s="1394"/>
      <c r="Y34" s="3253"/>
      <c r="Z34" s="1393" t="str">
        <f t="shared" si="18"/>
        <v>建筑结构</v>
      </c>
      <c r="AA34" s="1393">
        <f t="shared" si="15"/>
        <v>1</v>
      </c>
      <c r="AB34" s="1393">
        <f t="shared" si="16"/>
        <v>1</v>
      </c>
      <c r="AC34" s="1393">
        <f t="shared" si="17"/>
        <v>1</v>
      </c>
    </row>
    <row r="35" spans="1:29" ht="15">
      <c r="A35" s="417"/>
      <c r="B35" s="370" t="s">
        <v>2149</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51"/>
      <c r="Q35" s="1392" t="str">
        <f t="shared" si="11"/>
        <v>建筑品质</v>
      </c>
      <c r="R35" s="676" t="s">
        <v>21</v>
      </c>
      <c r="S35" s="677">
        <f t="shared" si="12"/>
        <v>100</v>
      </c>
      <c r="T35" s="676" t="s">
        <v>21</v>
      </c>
      <c r="U35" s="677">
        <f t="shared" si="13"/>
        <v>100</v>
      </c>
      <c r="V35" s="676" t="s">
        <v>21</v>
      </c>
      <c r="W35" s="677">
        <f t="shared" si="14"/>
        <v>100</v>
      </c>
      <c r="X35" s="1394"/>
      <c r="Y35" s="3253"/>
      <c r="Z35" s="1393" t="str">
        <f t="shared" si="18"/>
        <v>建筑品质</v>
      </c>
      <c r="AA35" s="1393">
        <f t="shared" si="15"/>
        <v>1</v>
      </c>
      <c r="AB35" s="1393">
        <f t="shared" si="16"/>
        <v>1</v>
      </c>
      <c r="AC35" s="1393">
        <f t="shared" si="17"/>
        <v>1</v>
      </c>
    </row>
    <row r="36" spans="1:29" ht="15">
      <c r="A36" s="417"/>
      <c r="B36" s="370" t="s">
        <v>2150</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51"/>
      <c r="Q36" s="1392" t="str">
        <f t="shared" si="11"/>
        <v>公共部分装修</v>
      </c>
      <c r="R36" s="676" t="s">
        <v>21</v>
      </c>
      <c r="S36" s="677">
        <f t="shared" si="12"/>
        <v>100</v>
      </c>
      <c r="T36" s="676" t="s">
        <v>21</v>
      </c>
      <c r="U36" s="677">
        <f t="shared" si="13"/>
        <v>100</v>
      </c>
      <c r="V36" s="676" t="s">
        <v>21</v>
      </c>
      <c r="W36" s="677">
        <f t="shared" si="14"/>
        <v>100</v>
      </c>
      <c r="X36" s="1394"/>
      <c r="Y36" s="3253"/>
      <c r="Z36" s="1393" t="str">
        <f t="shared" si="18"/>
        <v>公共部分装修</v>
      </c>
      <c r="AA36" s="1393">
        <f t="shared" si="15"/>
        <v>1</v>
      </c>
      <c r="AB36" s="1393">
        <f t="shared" si="16"/>
        <v>1</v>
      </c>
      <c r="AC36" s="1393">
        <f t="shared" si="17"/>
        <v>1</v>
      </c>
    </row>
    <row r="37" spans="1:29" s="107" customFormat="1" ht="15">
      <c r="A37" s="418"/>
      <c r="B37" s="370" t="s">
        <v>2151</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6"/>
      <c r="N37" s="2606"/>
      <c r="O37" s="2606"/>
      <c r="P37" s="3251"/>
      <c r="Q37" s="538" t="str">
        <f t="shared" si="11"/>
        <v>成新度</v>
      </c>
      <c r="R37" s="673" t="s">
        <v>21</v>
      </c>
      <c r="S37" s="674" t="e">
        <f t="shared" si="12"/>
        <v>#N/A</v>
      </c>
      <c r="T37" s="673" t="s">
        <v>21</v>
      </c>
      <c r="U37" s="674" t="e">
        <f t="shared" si="13"/>
        <v>#N/A</v>
      </c>
      <c r="V37" s="673" t="s">
        <v>21</v>
      </c>
      <c r="W37" s="674" t="e">
        <f t="shared" si="14"/>
        <v>#N/A</v>
      </c>
      <c r="X37" s="675"/>
      <c r="Y37" s="3253"/>
      <c r="Z37" s="53" t="str">
        <f t="shared" si="18"/>
        <v>成新度</v>
      </c>
      <c r="AA37" s="53" t="e">
        <f t="shared" si="15"/>
        <v>#N/A</v>
      </c>
      <c r="AB37" s="53" t="e">
        <f t="shared" si="16"/>
        <v>#N/A</v>
      </c>
      <c r="AC37" s="53" t="e">
        <f t="shared" si="17"/>
        <v>#N/A</v>
      </c>
    </row>
    <row r="38" spans="1:29" ht="15">
      <c r="A38" s="417"/>
      <c r="B38" s="370" t="s">
        <v>2152</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51" t="s">
        <v>2146</v>
      </c>
      <c r="Q38" s="1392" t="str">
        <f t="shared" si="11"/>
        <v>物业管理</v>
      </c>
      <c r="R38" s="676" t="s">
        <v>21</v>
      </c>
      <c r="S38" s="677">
        <f t="shared" si="12"/>
        <v>100</v>
      </c>
      <c r="T38" s="676" t="s">
        <v>21</v>
      </c>
      <c r="U38" s="677">
        <f t="shared" si="13"/>
        <v>100</v>
      </c>
      <c r="V38" s="676" t="s">
        <v>21</v>
      </c>
      <c r="W38" s="677">
        <f t="shared" si="14"/>
        <v>100</v>
      </c>
      <c r="X38" s="1394"/>
      <c r="Y38" s="3253" t="s">
        <v>2146</v>
      </c>
      <c r="Z38" s="1393" t="str">
        <f t="shared" si="18"/>
        <v>物业管理</v>
      </c>
      <c r="AA38" s="1393">
        <f t="shared" si="15"/>
        <v>1</v>
      </c>
      <c r="AB38" s="1393">
        <f t="shared" si="16"/>
        <v>1</v>
      </c>
      <c r="AC38" s="1393">
        <f t="shared" si="17"/>
        <v>1</v>
      </c>
    </row>
    <row r="39" spans="1:29" ht="15">
      <c r="A39" s="417"/>
      <c r="B39" s="370" t="s">
        <v>2153</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51"/>
      <c r="Q39" s="1392" t="str">
        <f t="shared" si="11"/>
        <v>市政基础设施</v>
      </c>
      <c r="R39" s="676" t="s">
        <v>21</v>
      </c>
      <c r="S39" s="677">
        <f t="shared" si="12"/>
        <v>100</v>
      </c>
      <c r="T39" s="676" t="s">
        <v>21</v>
      </c>
      <c r="U39" s="677">
        <f t="shared" si="13"/>
        <v>100</v>
      </c>
      <c r="V39" s="676" t="s">
        <v>21</v>
      </c>
      <c r="W39" s="677">
        <f t="shared" si="14"/>
        <v>100</v>
      </c>
      <c r="X39" s="1394"/>
      <c r="Y39" s="3253"/>
      <c r="Z39" s="1393" t="str">
        <f t="shared" si="18"/>
        <v>市政基础设施</v>
      </c>
      <c r="AA39" s="1393">
        <f t="shared" si="15"/>
        <v>1</v>
      </c>
      <c r="AB39" s="1393">
        <f t="shared" si="16"/>
        <v>1</v>
      </c>
      <c r="AC39" s="1393">
        <f t="shared" si="17"/>
        <v>1</v>
      </c>
    </row>
    <row r="40" spans="1:29" ht="15">
      <c r="A40" s="417"/>
      <c r="B40" s="370" t="s">
        <v>2154</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51"/>
      <c r="Q40" s="1392" t="str">
        <f t="shared" si="11"/>
        <v>房型</v>
      </c>
      <c r="R40" s="676" t="s">
        <v>21</v>
      </c>
      <c r="S40" s="677">
        <f t="shared" si="12"/>
        <v>100</v>
      </c>
      <c r="T40" s="676" t="s">
        <v>21</v>
      </c>
      <c r="U40" s="677">
        <f t="shared" si="13"/>
        <v>100</v>
      </c>
      <c r="V40" s="676" t="s">
        <v>21</v>
      </c>
      <c r="W40" s="677">
        <f t="shared" si="14"/>
        <v>100</v>
      </c>
      <c r="X40" s="1394"/>
      <c r="Y40" s="3253"/>
      <c r="Z40" s="1393" t="str">
        <f t="shared" si="18"/>
        <v>房型</v>
      </c>
      <c r="AA40" s="1393">
        <f t="shared" si="15"/>
        <v>1</v>
      </c>
      <c r="AB40" s="1393">
        <f t="shared" si="16"/>
        <v>1</v>
      </c>
      <c r="AC40" s="1393">
        <f t="shared" si="17"/>
        <v>1</v>
      </c>
    </row>
    <row r="41" spans="1:29" s="416" customFormat="1" ht="28.5">
      <c r="A41" s="414"/>
      <c r="B41" s="370" t="s">
        <v>2155</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51"/>
      <c r="Q41" s="539" t="str">
        <f t="shared" si="11"/>
        <v>单套/主力户型建筑面积</v>
      </c>
      <c r="R41" s="678" t="s">
        <v>21</v>
      </c>
      <c r="S41" s="679">
        <f t="shared" si="12"/>
        <v>100</v>
      </c>
      <c r="T41" s="678" t="s">
        <v>21</v>
      </c>
      <c r="U41" s="679">
        <f t="shared" si="13"/>
        <v>100</v>
      </c>
      <c r="V41" s="678" t="s">
        <v>21</v>
      </c>
      <c r="W41" s="679">
        <f t="shared" si="14"/>
        <v>100</v>
      </c>
      <c r="X41" s="680"/>
      <c r="Y41" s="3253"/>
      <c r="Z41" s="681" t="str">
        <f t="shared" si="18"/>
        <v>单套/主力户型建筑面积</v>
      </c>
      <c r="AA41" s="1393">
        <f t="shared" si="15"/>
        <v>1</v>
      </c>
      <c r="AB41" s="1393">
        <f t="shared" si="16"/>
        <v>1</v>
      </c>
      <c r="AC41" s="1393">
        <f t="shared" si="17"/>
        <v>1</v>
      </c>
    </row>
    <row r="42" spans="1:29" ht="15">
      <c r="A42" s="417"/>
      <c r="B42" s="370" t="s">
        <v>2156</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51"/>
      <c r="Q42" s="1392" t="str">
        <f t="shared" si="11"/>
        <v>内部装修</v>
      </c>
      <c r="R42" s="676" t="s">
        <v>21</v>
      </c>
      <c r="S42" s="677">
        <f t="shared" si="12"/>
        <v>100</v>
      </c>
      <c r="T42" s="676" t="s">
        <v>21</v>
      </c>
      <c r="U42" s="677">
        <f t="shared" si="13"/>
        <v>100</v>
      </c>
      <c r="V42" s="676" t="s">
        <v>21</v>
      </c>
      <c r="W42" s="677">
        <f t="shared" si="14"/>
        <v>100</v>
      </c>
      <c r="X42" s="1394"/>
      <c r="Y42" s="3253"/>
      <c r="Z42" s="1393" t="str">
        <f t="shared" si="18"/>
        <v>内部装修</v>
      </c>
      <c r="AA42" s="1393">
        <f t="shared" si="15"/>
        <v>1</v>
      </c>
      <c r="AB42" s="1393">
        <f t="shared" si="16"/>
        <v>1</v>
      </c>
      <c r="AC42" s="1393">
        <f t="shared" si="17"/>
        <v>1</v>
      </c>
    </row>
    <row r="43" spans="1:29" ht="15">
      <c r="A43" s="417"/>
      <c r="B43" s="370" t="s">
        <v>2157</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51"/>
      <c r="Q43" s="1392" t="str">
        <f t="shared" si="11"/>
        <v>内部装修维护情况</v>
      </c>
      <c r="R43" s="676" t="s">
        <v>21</v>
      </c>
      <c r="S43" s="677">
        <f t="shared" si="12"/>
        <v>100</v>
      </c>
      <c r="T43" s="676" t="s">
        <v>21</v>
      </c>
      <c r="U43" s="677">
        <f t="shared" si="13"/>
        <v>100</v>
      </c>
      <c r="V43" s="676" t="s">
        <v>21</v>
      </c>
      <c r="W43" s="677">
        <f t="shared" si="14"/>
        <v>100</v>
      </c>
      <c r="X43" s="1394"/>
      <c r="Y43" s="3253"/>
      <c r="Z43" s="1393" t="str">
        <f t="shared" si="18"/>
        <v>内部装修维护情况</v>
      </c>
      <c r="AA43" s="1393">
        <f t="shared" si="15"/>
        <v>1</v>
      </c>
      <c r="AB43" s="1393">
        <f t="shared" si="16"/>
        <v>1</v>
      </c>
      <c r="AC43" s="1393">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6"/>
      <c r="N44" s="2606"/>
      <c r="O44" s="2606"/>
      <c r="P44" s="3251"/>
      <c r="Q44" s="538">
        <f t="shared" si="11"/>
        <v>111</v>
      </c>
      <c r="R44" s="673" t="s">
        <v>21</v>
      </c>
      <c r="S44" s="674">
        <f t="shared" si="12"/>
        <v>100</v>
      </c>
      <c r="T44" s="673" t="s">
        <v>21</v>
      </c>
      <c r="U44" s="674">
        <f t="shared" si="13"/>
        <v>100</v>
      </c>
      <c r="V44" s="673" t="s">
        <v>21</v>
      </c>
      <c r="W44" s="674">
        <f t="shared" si="14"/>
        <v>100</v>
      </c>
      <c r="X44" s="675"/>
      <c r="Y44" s="3253"/>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51"/>
      <c r="Q45" s="1392">
        <f t="shared" si="11"/>
        <v>111</v>
      </c>
      <c r="R45" s="676" t="s">
        <v>21</v>
      </c>
      <c r="S45" s="677">
        <f t="shared" si="12"/>
        <v>100</v>
      </c>
      <c r="T45" s="676" t="s">
        <v>21</v>
      </c>
      <c r="U45" s="677">
        <f t="shared" si="13"/>
        <v>100</v>
      </c>
      <c r="V45" s="676" t="s">
        <v>21</v>
      </c>
      <c r="W45" s="677">
        <f t="shared" si="14"/>
        <v>100</v>
      </c>
      <c r="X45" s="1394"/>
      <c r="Y45" s="3253"/>
      <c r="Z45" s="1393">
        <f t="shared" si="18"/>
        <v>111</v>
      </c>
      <c r="AA45" s="1393">
        <f t="shared" si="15"/>
        <v>1</v>
      </c>
      <c r="AB45" s="1393">
        <f t="shared" si="16"/>
        <v>1</v>
      </c>
      <c r="AC45" s="1393">
        <f t="shared" si="17"/>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52"/>
      <c r="Q46" s="1392">
        <f t="shared" si="11"/>
        <v>111</v>
      </c>
      <c r="R46" s="676" t="s">
        <v>20</v>
      </c>
      <c r="S46" s="677">
        <f t="shared" si="12"/>
        <v>100</v>
      </c>
      <c r="T46" s="676" t="s">
        <v>20</v>
      </c>
      <c r="U46" s="677">
        <f t="shared" si="13"/>
        <v>100</v>
      </c>
      <c r="V46" s="676" t="s">
        <v>20</v>
      </c>
      <c r="W46" s="677">
        <f t="shared" si="14"/>
        <v>100</v>
      </c>
      <c r="X46" s="1394"/>
      <c r="Y46" s="3254"/>
      <c r="Z46" s="1393">
        <f t="shared" si="18"/>
        <v>111</v>
      </c>
      <c r="AA46" s="1393">
        <f t="shared" si="15"/>
        <v>1</v>
      </c>
      <c r="AB46" s="1393">
        <f t="shared" si="16"/>
        <v>1</v>
      </c>
      <c r="AC46" s="1393">
        <f t="shared" si="17"/>
        <v>1</v>
      </c>
    </row>
    <row r="47" spans="1:29" ht="15">
      <c r="A47" s="424" t="s">
        <v>2158</v>
      </c>
      <c r="B47" s="425"/>
      <c r="C47" s="1191" t="s">
        <v>19</v>
      </c>
      <c r="D47" s="426"/>
      <c r="E47" s="427"/>
      <c r="F47" s="428"/>
      <c r="G47" s="429"/>
      <c r="H47" s="430"/>
      <c r="I47" s="427"/>
      <c r="J47" s="430"/>
      <c r="K47" s="1897"/>
      <c r="L47" s="2661"/>
      <c r="M47" s="2654"/>
      <c r="N47" s="2654"/>
      <c r="O47" s="2654"/>
      <c r="P47" s="3247" t="str">
        <f>A47</f>
        <v>成交单价（元/平方米）</v>
      </c>
      <c r="Q47" s="3247"/>
      <c r="R47" s="3242">
        <f>E47</f>
        <v>0</v>
      </c>
      <c r="S47" s="3242"/>
      <c r="T47" s="3242">
        <f>G47</f>
        <v>0</v>
      </c>
      <c r="U47" s="3242"/>
      <c r="V47" s="3242">
        <f>I47</f>
        <v>0</v>
      </c>
      <c r="W47" s="3242"/>
      <c r="X47" s="393"/>
      <c r="Y47" s="682"/>
      <c r="Z47" s="393"/>
      <c r="AA47" s="393"/>
      <c r="AB47" s="393"/>
      <c r="AC47" s="393"/>
    </row>
    <row r="48" spans="1:29" ht="15.75" thickBot="1">
      <c r="A48" s="431" t="s">
        <v>2159</v>
      </c>
      <c r="B48" s="432"/>
      <c r="C48" s="1192" t="e">
        <f>R49</f>
        <v>#DIV/0!</v>
      </c>
      <c r="D48" s="2301" t="s">
        <v>2640</v>
      </c>
      <c r="E48" s="1193" t="e">
        <f>R48</f>
        <v>#DIV/0!</v>
      </c>
      <c r="F48" s="2302"/>
      <c r="G48" s="1192" t="e">
        <f>T48</f>
        <v>#DIV/0!</v>
      </c>
      <c r="H48" s="2302"/>
      <c r="I48" s="1193" t="e">
        <f>V48</f>
        <v>#DIV/0!</v>
      </c>
      <c r="J48" s="2302"/>
      <c r="K48" s="2303">
        <f>F48+H48+J48</f>
        <v>0</v>
      </c>
      <c r="L48" s="2661"/>
      <c r="M48" s="2654"/>
      <c r="N48" s="2654"/>
      <c r="O48" s="2654"/>
      <c r="P48" s="3247" t="str">
        <f>A48</f>
        <v>比较价值（元/平方米）</v>
      </c>
      <c r="Q48" s="3247"/>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393"/>
      <c r="Y48" s="393"/>
      <c r="Z48" s="393"/>
      <c r="AA48" s="393"/>
      <c r="AB48" s="393"/>
      <c r="AC48" s="393"/>
    </row>
    <row r="49" spans="1:29" ht="15.75" thickBot="1">
      <c r="A49" s="435" t="s">
        <v>2160</v>
      </c>
      <c r="B49" s="436"/>
      <c r="C49" s="1194" t="e">
        <f>R49</f>
        <v>#DIV/0!</v>
      </c>
      <c r="D49" s="357"/>
      <c r="E49" s="357"/>
      <c r="F49" s="357"/>
      <c r="G49" s="357"/>
      <c r="H49" s="357"/>
      <c r="I49" s="357"/>
      <c r="J49" s="357"/>
      <c r="K49" s="1898"/>
      <c r="L49" s="2661"/>
      <c r="M49" s="2654"/>
      <c r="N49" s="2654"/>
      <c r="O49" s="2654"/>
      <c r="P49" s="3244" t="str">
        <f>A49</f>
        <v>估价对象XX用房的比较价值（楼面单价，元/平方米）</v>
      </c>
      <c r="Q49" s="3245"/>
      <c r="R49" s="3246" t="e">
        <f>IF(F1="售价",ROUND(IF(D48="简单平均",AVERAGE(R48:V48),R48*F48+T48*H48+V48*J48),0),ROUND(IF(D48="简单平均",AVERAGE(R48:V48),R48*F48+T48*H48+V48*J48),1))</f>
        <v>#DIV/0!</v>
      </c>
      <c r="S49" s="3246"/>
      <c r="T49" s="3246"/>
      <c r="U49" s="3246"/>
      <c r="V49" s="3246"/>
      <c r="W49" s="324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2161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75" thickBot="1">
      <c r="A57" s="667" t="s">
        <v>2164</v>
      </c>
      <c r="B57" s="393"/>
      <c r="C57" s="668"/>
      <c r="D57" s="668"/>
      <c r="E57" s="668"/>
      <c r="F57" s="669"/>
      <c r="G57" s="669"/>
      <c r="H57" s="668"/>
      <c r="I57" s="668"/>
      <c r="J57" s="668"/>
      <c r="K57" s="994"/>
      <c r="L57" s="995"/>
      <c r="M57" s="993"/>
      <c r="N57" s="993"/>
      <c r="O57" s="993"/>
      <c r="P57" s="1901"/>
      <c r="Q57" s="447"/>
    </row>
    <row r="58" spans="1:29" s="450" customFormat="1" ht="15">
      <c r="A58" s="448" t="s">
        <v>2165</v>
      </c>
      <c r="B58" s="449"/>
      <c r="C58" s="1215"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2166</v>
      </c>
      <c r="B60" s="458"/>
      <c r="C60" s="459"/>
      <c r="D60" s="460"/>
      <c r="E60" s="460"/>
      <c r="F60" s="460"/>
      <c r="G60" s="460"/>
      <c r="H60" s="460"/>
      <c r="I60" s="460"/>
      <c r="J60" s="460"/>
      <c r="K60" s="460"/>
      <c r="L60" s="460"/>
      <c r="M60" s="461"/>
      <c r="N60" s="460"/>
      <c r="O60" s="461"/>
      <c r="P60" s="1903"/>
      <c r="Q60" s="447"/>
    </row>
    <row r="61" spans="1:29" s="107" customFormat="1" ht="15">
      <c r="A61" s="463" t="s">
        <v>2167</v>
      </c>
      <c r="B61" s="452"/>
      <c r="C61" s="464" t="s">
        <v>2168</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2169</v>
      </c>
      <c r="B63" s="468" t="s">
        <v>2135</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2138</v>
      </c>
      <c r="C65" s="478" t="s">
        <v>2170</v>
      </c>
      <c r="D65" s="478" t="s">
        <v>2171</v>
      </c>
      <c r="E65" s="478" t="s">
        <v>2172</v>
      </c>
      <c r="F65" s="478" t="s">
        <v>2173</v>
      </c>
      <c r="G65" s="478" t="s">
        <v>2174</v>
      </c>
      <c r="H65" s="478" t="s">
        <v>2175</v>
      </c>
      <c r="I65" s="478" t="s">
        <v>2176</v>
      </c>
      <c r="J65" s="478"/>
      <c r="K65" s="479"/>
      <c r="L65" s="480"/>
      <c r="M65" s="481"/>
      <c r="N65" s="986"/>
      <c r="O65" s="986"/>
      <c r="P65" s="1905"/>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5.75" thickTop="1">
      <c r="A67" s="375"/>
      <c r="B67" s="485" t="s">
        <v>2139</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2140</v>
      </c>
      <c r="B76" s="468" t="s">
        <v>2177</v>
      </c>
      <c r="C76" s="512" t="s">
        <v>2178</v>
      </c>
      <c r="D76" s="512" t="s">
        <v>2179</v>
      </c>
      <c r="E76" s="512" t="s">
        <v>2180</v>
      </c>
      <c r="F76" s="512" t="s">
        <v>2181</v>
      </c>
      <c r="G76" s="512" t="s">
        <v>2182</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2183</v>
      </c>
      <c r="C78" s="517" t="s">
        <v>2178</v>
      </c>
      <c r="D78" s="517" t="s">
        <v>2179</v>
      </c>
      <c r="E78" s="517" t="s">
        <v>2180</v>
      </c>
      <c r="F78" s="517" t="s">
        <v>2181</v>
      </c>
      <c r="G78" s="517" t="s">
        <v>2182</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2184</v>
      </c>
      <c r="C80" s="517" t="s">
        <v>2178</v>
      </c>
      <c r="D80" s="517" t="s">
        <v>2179</v>
      </c>
      <c r="E80" s="517" t="s">
        <v>2180</v>
      </c>
      <c r="F80" s="517" t="s">
        <v>2181</v>
      </c>
      <c r="G80" s="517" t="s">
        <v>2182</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1706</v>
      </c>
      <c r="C82" s="478" t="s">
        <v>2185</v>
      </c>
      <c r="D82" s="478" t="s">
        <v>2186</v>
      </c>
      <c r="E82" s="478" t="s">
        <v>2187</v>
      </c>
      <c r="F82" s="478" t="s">
        <v>2188</v>
      </c>
      <c r="G82" s="478" t="s">
        <v>2189</v>
      </c>
      <c r="H82" s="478"/>
      <c r="I82" s="478"/>
      <c r="J82" s="478"/>
      <c r="K82" s="478"/>
      <c r="L82" s="478"/>
      <c r="M82" s="1173"/>
      <c r="N82" s="987"/>
      <c r="O82" s="987"/>
      <c r="P82" s="1905"/>
      <c r="Q82" s="447"/>
    </row>
    <row r="83" spans="1:17" ht="15.7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5.75" thickTop="1">
      <c r="A84" s="375"/>
      <c r="B84" s="477" t="s">
        <v>2190</v>
      </c>
      <c r="C84" s="517" t="s">
        <v>2178</v>
      </c>
      <c r="D84" s="517" t="s">
        <v>2179</v>
      </c>
      <c r="E84" s="517" t="s">
        <v>2180</v>
      </c>
      <c r="F84" s="517" t="s">
        <v>2181</v>
      </c>
      <c r="G84" s="517" t="s">
        <v>2182</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2191</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5.75" thickTop="1">
      <c r="A88" s="378"/>
      <c r="B88" s="477" t="s">
        <v>2192</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2144</v>
      </c>
      <c r="B100" s="468" t="s">
        <v>2193</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5.75" thickTop="1">
      <c r="A102" s="375"/>
      <c r="B102" s="477" t="s">
        <v>2194</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2195</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5" thickTop="1">
      <c r="A107" s="417"/>
      <c r="B107" s="477" t="s">
        <v>2196</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5" thickTop="1">
      <c r="A109" s="417"/>
      <c r="B109" s="477" t="s">
        <v>2197</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2198</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5" thickTop="1">
      <c r="A116" s="417"/>
      <c r="B116" s="477" t="s">
        <v>2199</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2200</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8.5" thickTop="1">
      <c r="A120" s="414"/>
      <c r="B120" s="477" t="s">
        <v>2155</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2201</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15" thickTop="1">
      <c r="A124" s="417"/>
      <c r="B124" s="477" t="s">
        <v>2202</v>
      </c>
      <c r="C124" s="517" t="s">
        <v>2178</v>
      </c>
      <c r="D124" s="517" t="s">
        <v>2179</v>
      </c>
      <c r="E124" s="517" t="s">
        <v>2180</v>
      </c>
      <c r="F124" s="517" t="s">
        <v>2181</v>
      </c>
      <c r="G124" s="517" t="s">
        <v>2182</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2203</v>
      </c>
    </row>
    <row r="137" spans="1:17" ht="15">
      <c r="B137" s="1912" t="s">
        <v>2204</v>
      </c>
      <c r="C137" s="1913"/>
      <c r="D137" s="1913"/>
      <c r="E137" s="1913"/>
      <c r="F137" s="1913"/>
      <c r="G137" s="1914"/>
      <c r="H137" s="1915"/>
      <c r="I137" s="1916" t="s">
        <v>2205</v>
      </c>
      <c r="J137" s="1913"/>
      <c r="K137" s="1917"/>
    </row>
    <row r="138" spans="1:17" ht="15">
      <c r="B138" s="1918"/>
      <c r="C138" s="134" t="s">
        <v>2206</v>
      </c>
      <c r="D138" s="134" t="s">
        <v>2207</v>
      </c>
      <c r="E138" s="1919" t="s">
        <v>2208</v>
      </c>
      <c r="F138" s="1920" t="s">
        <v>2209</v>
      </c>
      <c r="G138" s="134" t="s">
        <v>2207</v>
      </c>
      <c r="H138" s="135" t="s">
        <v>2208</v>
      </c>
      <c r="I138" s="1921"/>
      <c r="J138" s="134" t="s">
        <v>2210</v>
      </c>
      <c r="K138" s="135" t="s">
        <v>2211</v>
      </c>
    </row>
    <row r="139" spans="1:17" ht="15">
      <c r="B139" s="921">
        <v>6</v>
      </c>
      <c r="C139" s="922">
        <v>96</v>
      </c>
      <c r="D139" s="1922" t="s">
        <v>2212</v>
      </c>
      <c r="E139" s="923">
        <v>100</v>
      </c>
      <c r="F139" s="924">
        <v>102.5</v>
      </c>
      <c r="G139" s="1922" t="s">
        <v>2212</v>
      </c>
      <c r="H139" s="925">
        <v>105</v>
      </c>
      <c r="I139" s="1923" t="s">
        <v>2213</v>
      </c>
      <c r="J139" s="922">
        <v>20</v>
      </c>
      <c r="K139" s="926">
        <f>C145/(J139-2)</f>
        <v>4.0555555555555553E-3</v>
      </c>
    </row>
    <row r="140" spans="1:17" ht="15">
      <c r="B140" s="927">
        <v>5</v>
      </c>
      <c r="C140" s="928">
        <v>100</v>
      </c>
      <c r="D140" s="928"/>
      <c r="E140" s="929"/>
      <c r="F140" s="930">
        <v>102</v>
      </c>
      <c r="G140" s="928"/>
      <c r="H140" s="931"/>
      <c r="I140" s="1924" t="s">
        <v>2214</v>
      </c>
      <c r="J140" s="269">
        <f>ROUNDUP((J139-1)/2,0)</f>
        <v>10</v>
      </c>
      <c r="K140" s="932">
        <v>100</v>
      </c>
    </row>
    <row r="141" spans="1:17" ht="15">
      <c r="B141" s="927">
        <v>4</v>
      </c>
      <c r="C141" s="928">
        <v>102</v>
      </c>
      <c r="D141" s="928"/>
      <c r="E141" s="929"/>
      <c r="F141" s="930">
        <v>101.5</v>
      </c>
      <c r="G141" s="928"/>
      <c r="H141" s="931"/>
      <c r="I141" s="1924" t="s">
        <v>2215</v>
      </c>
      <c r="J141" s="269">
        <v>1</v>
      </c>
      <c r="K141" s="933">
        <f>ROUND(100+(J141-J140)*K139*100,1)</f>
        <v>96.4</v>
      </c>
    </row>
    <row r="142" spans="1:17" ht="15">
      <c r="B142" s="927">
        <v>3</v>
      </c>
      <c r="C142" s="928">
        <v>103</v>
      </c>
      <c r="D142" s="928"/>
      <c r="E142" s="929"/>
      <c r="F142" s="930">
        <v>101</v>
      </c>
      <c r="G142" s="928"/>
      <c r="H142" s="931"/>
      <c r="I142" s="1924" t="s">
        <v>2216</v>
      </c>
      <c r="J142" s="269">
        <f>J139</f>
        <v>20</v>
      </c>
      <c r="K142" s="934">
        <v>95</v>
      </c>
    </row>
    <row r="143" spans="1:17" ht="15">
      <c r="B143" s="927">
        <v>2</v>
      </c>
      <c r="C143" s="928">
        <v>100</v>
      </c>
      <c r="D143" s="928"/>
      <c r="E143" s="929"/>
      <c r="F143" s="930">
        <v>100.5</v>
      </c>
      <c r="G143" s="928"/>
      <c r="H143" s="931"/>
      <c r="I143" s="1924" t="s">
        <v>2217</v>
      </c>
      <c r="J143" s="928">
        <v>15</v>
      </c>
      <c r="K143" s="933">
        <f>ROUND(100+(J143-J140)*K139*100,1)</f>
        <v>102</v>
      </c>
    </row>
    <row r="144" spans="1:17" ht="15">
      <c r="B144" s="927">
        <v>1</v>
      </c>
      <c r="C144" s="928">
        <v>98</v>
      </c>
      <c r="D144" s="1925" t="s">
        <v>2218</v>
      </c>
      <c r="E144" s="929">
        <v>102</v>
      </c>
      <c r="F144" s="935">
        <v>100</v>
      </c>
      <c r="G144" s="1925" t="s">
        <v>2218</v>
      </c>
      <c r="H144" s="931">
        <v>105</v>
      </c>
      <c r="I144" s="1924" t="s">
        <v>2217</v>
      </c>
      <c r="J144" s="928">
        <v>18</v>
      </c>
      <c r="K144" s="933">
        <f>ROUND(100+(J144-J140)*K139*100,1)</f>
        <v>103.2</v>
      </c>
    </row>
    <row r="145" spans="2:11" ht="15.75" thickBot="1">
      <c r="B145" s="1926" t="s">
        <v>2219</v>
      </c>
      <c r="C145" s="936">
        <f>ROUND(MAX(C139:C144)/MIN(C139:C144)-1,3)</f>
        <v>7.2999999999999995E-2</v>
      </c>
      <c r="D145" s="937"/>
      <c r="E145" s="937"/>
      <c r="F145" s="1927" t="s">
        <v>2220</v>
      </c>
      <c r="G145" s="1928"/>
      <c r="H145" s="1929"/>
      <c r="I145" s="1930" t="s">
        <v>2217</v>
      </c>
      <c r="J145" s="938">
        <v>8</v>
      </c>
      <c r="K145" s="939">
        <f>ROUND(100+(J145-J140)*K139*100,1)</f>
        <v>99.2</v>
      </c>
    </row>
    <row r="147" spans="2:11">
      <c r="B147" s="1911" t="s">
        <v>2221</v>
      </c>
    </row>
    <row r="148" spans="2:11">
      <c r="B148" s="1911" t="s">
        <v>2222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1899"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2109</v>
      </c>
      <c r="B1" s="1864" t="s">
        <v>2223</v>
      </c>
      <c r="C1" s="1270" t="s">
        <v>2111</v>
      </c>
      <c r="D1" s="1257"/>
      <c r="E1" s="2306"/>
      <c r="F1" s="1865"/>
      <c r="G1" s="1267" t="s">
        <v>2224</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1908</v>
      </c>
      <c r="B2" s="1195" t="e">
        <f ca="1">IF(C2="——",ROUND(C49*D3/10000,0),ROUND(C49*D3/10000,0)-D2)</f>
        <v>#DIV/0!</v>
      </c>
      <c r="C2" s="1867"/>
      <c r="D2" s="1160" t="e">
        <f ca="1">SUMIF(INDIRECT("'"&amp;F2&amp;"'"&amp;"!A:A"),"承租人权益价值",INDIRECT("'"&amp;F2&amp;"'"&amp;"!c:c"))</f>
        <v>#REF!</v>
      </c>
      <c r="E2" s="1868" t="s">
        <v>1909</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1910</v>
      </c>
      <c r="B3" s="544" t="e">
        <f ca="1">IF(C2="——",C49,ROUND(B2*10000/D3,0))</f>
        <v>#DIV/0!</v>
      </c>
      <c r="C3" s="350" t="s">
        <v>2225</v>
      </c>
      <c r="D3" s="349">
        <f>IF(D1="",'数据-汇总表'!E3,SUMIF('数据-汇总表'!$C19:$C33,D1,'数据-汇总表'!$E19:$E33))</f>
        <v>11320.8</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17" t="s">
        <v>2228</v>
      </c>
      <c r="S4" s="3218"/>
      <c r="T4" s="3217" t="s">
        <v>2229</v>
      </c>
      <c r="U4" s="3218"/>
      <c r="V4" s="3242" t="s">
        <v>2230</v>
      </c>
      <c r="W4" s="3242"/>
      <c r="X4" s="1394"/>
      <c r="Y4" s="3217" t="s">
        <v>2232</v>
      </c>
      <c r="Z4" s="3218"/>
      <c r="AA4" s="3212" t="s">
        <v>2228</v>
      </c>
      <c r="AB4" s="3242" t="s">
        <v>2229</v>
      </c>
      <c r="AC4" s="3212" t="s">
        <v>2230</v>
      </c>
    </row>
    <row r="5" spans="1:29" ht="15">
      <c r="A5" s="354"/>
      <c r="B5" s="355"/>
      <c r="C5" s="3223" t="s">
        <v>2123</v>
      </c>
      <c r="D5" s="3224"/>
      <c r="E5" s="3221" t="s">
        <v>2124</v>
      </c>
      <c r="F5" s="3222"/>
      <c r="G5" s="3223" t="s">
        <v>2125</v>
      </c>
      <c r="H5" s="3224"/>
      <c r="I5" s="3223" t="s">
        <v>2126</v>
      </c>
      <c r="J5" s="3224"/>
      <c r="K5" s="545"/>
      <c r="L5" s="2653"/>
      <c r="M5" s="2654"/>
      <c r="N5" s="2654"/>
      <c r="O5" s="2654"/>
      <c r="P5" s="3236"/>
      <c r="Q5" s="3237"/>
      <c r="R5" s="3219"/>
      <c r="S5" s="3220"/>
      <c r="T5" s="3219"/>
      <c r="U5" s="3220"/>
      <c r="V5" s="3242"/>
      <c r="W5" s="3242"/>
      <c r="X5" s="1394"/>
      <c r="Y5" s="3219"/>
      <c r="Z5" s="3220"/>
      <c r="AA5" s="3213"/>
      <c r="AB5" s="3242"/>
      <c r="AC5" s="3213"/>
    </row>
    <row r="6" spans="1:29" ht="15.75" thickBot="1">
      <c r="A6" s="356"/>
      <c r="B6" s="357"/>
      <c r="C6" s="3225" t="s">
        <v>2127</v>
      </c>
      <c r="D6" s="3226"/>
      <c r="E6" s="3227" t="s">
        <v>2127</v>
      </c>
      <c r="F6" s="3228"/>
      <c r="G6" s="3225" t="s">
        <v>2127</v>
      </c>
      <c r="H6" s="3226"/>
      <c r="I6" s="3225" t="s">
        <v>2127</v>
      </c>
      <c r="J6" s="3226"/>
      <c r="K6" s="545" t="s">
        <v>2128</v>
      </c>
      <c r="L6" s="2653"/>
      <c r="M6" s="2654"/>
      <c r="N6" s="2654"/>
      <c r="O6" s="2654"/>
      <c r="P6" s="3238"/>
      <c r="Q6" s="3239"/>
      <c r="R6" s="3219"/>
      <c r="S6" s="3220"/>
      <c r="T6" s="3240"/>
      <c r="U6" s="3241"/>
      <c r="V6" s="3242"/>
      <c r="W6" s="3242"/>
      <c r="X6" s="1394"/>
      <c r="Y6" s="3240"/>
      <c r="Z6" s="3241"/>
      <c r="AA6" s="3214"/>
      <c r="AB6" s="3242"/>
      <c r="AC6" s="3214"/>
    </row>
    <row r="7" spans="1:29" s="107" customFormat="1" ht="15.7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41"/>
      <c r="L7" s="2655"/>
      <c r="M7" s="2606"/>
      <c r="N7" s="2606"/>
      <c r="O7" s="2606"/>
      <c r="P7" s="3215" t="s">
        <v>2130</v>
      </c>
      <c r="Q7" s="3243"/>
      <c r="R7" s="673" t="s">
        <v>17</v>
      </c>
      <c r="S7" s="674">
        <f t="shared" ref="S7:S15" si="0">F7</f>
        <v>0</v>
      </c>
      <c r="T7" s="673" t="s">
        <v>17</v>
      </c>
      <c r="U7" s="674">
        <f t="shared" ref="U7:U15" si="1">H7</f>
        <v>0</v>
      </c>
      <c r="V7" s="673" t="s">
        <v>17</v>
      </c>
      <c r="W7" s="674">
        <f t="shared" ref="W7:W15" si="2">J7</f>
        <v>0</v>
      </c>
      <c r="X7" s="675"/>
      <c r="Y7" s="3215" t="s">
        <v>2130</v>
      </c>
      <c r="Z7" s="3216"/>
      <c r="AA7" s="53" t="e">
        <f>D7/F7</f>
        <v>#DIV/0!</v>
      </c>
      <c r="AB7" s="53" t="e">
        <f>D7/H7</f>
        <v>#DIV/0!</v>
      </c>
      <c r="AC7" s="53" t="e">
        <f>D7/J7</f>
        <v>#DIV/0!</v>
      </c>
    </row>
    <row r="8" spans="1:29" s="107" customFormat="1" ht="15.75" thickBot="1">
      <c r="A8" s="358" t="s">
        <v>2131</v>
      </c>
      <c r="B8" s="359"/>
      <c r="C8" s="364" t="s">
        <v>2233</v>
      </c>
      <c r="D8" s="361">
        <v>100</v>
      </c>
      <c r="E8" s="364"/>
      <c r="F8" s="363">
        <f>SUMIF(61:61,E8,62:62)-SUMIF(61:61,C8,62:62)+100</f>
        <v>0</v>
      </c>
      <c r="G8" s="364"/>
      <c r="H8" s="361">
        <f>SUMIF(61:61,G8,62:62)-SUMIF(61:61,C8,62:62)+100</f>
        <v>0</v>
      </c>
      <c r="I8" s="364"/>
      <c r="J8" s="361">
        <f>SUMIF(61:61,I8,62:62)-SUMIF(61:61,C8,62:62)+100</f>
        <v>0</v>
      </c>
      <c r="K8" s="41"/>
      <c r="L8" s="2655"/>
      <c r="M8" s="2606"/>
      <c r="N8" s="2606"/>
      <c r="O8" s="2606"/>
      <c r="P8" s="3215" t="s">
        <v>2133</v>
      </c>
      <c r="Q8" s="3216"/>
      <c r="R8" s="673" t="s">
        <v>17</v>
      </c>
      <c r="S8" s="674">
        <f t="shared" si="0"/>
        <v>0</v>
      </c>
      <c r="T8" s="673" t="s">
        <v>17</v>
      </c>
      <c r="U8" s="674">
        <f t="shared" si="1"/>
        <v>0</v>
      </c>
      <c r="V8" s="673" t="s">
        <v>17</v>
      </c>
      <c r="W8" s="674">
        <f t="shared" si="2"/>
        <v>0</v>
      </c>
      <c r="X8" s="675"/>
      <c r="Y8" s="3215" t="s">
        <v>2133</v>
      </c>
      <c r="Z8" s="3216"/>
      <c r="AA8" s="53" t="e">
        <f t="shared" ref="AA8:AA46" si="3">D8/F8</f>
        <v>#DIV/0!</v>
      </c>
      <c r="AB8" s="53" t="e">
        <f t="shared" ref="AB8:AB46" si="4">D8/H8</f>
        <v>#DIV/0!</v>
      </c>
      <c r="AC8" s="53" t="e">
        <f t="shared" ref="AC8:AC46" si="5">D8/J8</f>
        <v>#DIV/0!</v>
      </c>
    </row>
    <row r="9" spans="1:29" s="107" customFormat="1">
      <c r="A9" s="365" t="s">
        <v>2134</v>
      </c>
      <c r="B9" s="64" t="s">
        <v>2135</v>
      </c>
      <c r="C9" s="366"/>
      <c r="D9" s="63">
        <v>100</v>
      </c>
      <c r="E9" s="367"/>
      <c r="F9" s="64">
        <f>SUMIF(63:63,E9,64:64)-SUMIF(63:63,C9,64:64)+100</f>
        <v>100</v>
      </c>
      <c r="G9" s="367"/>
      <c r="H9" s="63">
        <f>SUMIF(63:63,G9,64:64)-SUMIF(63:63,C9,64:64)+100</f>
        <v>100</v>
      </c>
      <c r="I9" s="367"/>
      <c r="J9" s="63">
        <f>SUMIF(63:63,I9,64:64)-SUMIF(63:63,C9,64:64)+100</f>
        <v>100</v>
      </c>
      <c r="K9" s="41"/>
      <c r="L9" s="2655"/>
      <c r="M9" s="2606"/>
      <c r="N9" s="2606"/>
      <c r="O9" s="2606"/>
      <c r="P9" s="3229"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53">
        <f t="shared" si="5"/>
        <v>1</v>
      </c>
    </row>
    <row r="10" spans="1:29" s="374" customFormat="1" ht="27">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29"/>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53">
        <f t="shared" si="5"/>
        <v>1</v>
      </c>
    </row>
    <row r="11" spans="1:29" ht="1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8"/>
      <c r="M11" s="2654"/>
      <c r="N11" s="2654"/>
      <c r="O11" s="2654"/>
      <c r="P11" s="3229"/>
      <c r="Q11" s="538" t="str">
        <f t="shared" si="6"/>
        <v>容积率</v>
      </c>
      <c r="R11" s="673" t="s">
        <v>17</v>
      </c>
      <c r="S11" s="674" t="e">
        <f t="shared" si="0"/>
        <v>#N/A</v>
      </c>
      <c r="T11" s="673" t="s">
        <v>17</v>
      </c>
      <c r="U11" s="674" t="e">
        <f t="shared" si="1"/>
        <v>#N/A</v>
      </c>
      <c r="V11" s="673" t="s">
        <v>17</v>
      </c>
      <c r="W11" s="674" t="e">
        <f t="shared" si="2"/>
        <v>#N/A</v>
      </c>
      <c r="X11" s="675"/>
      <c r="Y11" s="3159"/>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6"/>
      <c r="N12" s="2606"/>
      <c r="O12" s="2606"/>
      <c r="P12" s="3229"/>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29"/>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53">
        <f t="shared" si="5"/>
        <v>1</v>
      </c>
    </row>
    <row r="14" spans="1:29" ht="15.75"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29"/>
      <c r="Q14" s="538">
        <f t="shared" si="6"/>
        <v>111</v>
      </c>
      <c r="R14" s="673" t="s">
        <v>17</v>
      </c>
      <c r="S14" s="674">
        <f t="shared" si="0"/>
        <v>100</v>
      </c>
      <c r="T14" s="673" t="s">
        <v>17</v>
      </c>
      <c r="U14" s="674">
        <f t="shared" si="1"/>
        <v>100</v>
      </c>
      <c r="V14" s="673" t="s">
        <v>17</v>
      </c>
      <c r="W14" s="674">
        <f t="shared" si="2"/>
        <v>100</v>
      </c>
      <c r="X14" s="675"/>
      <c r="Y14" s="3159"/>
      <c r="Z14" s="53">
        <f t="shared" si="7"/>
        <v>111</v>
      </c>
      <c r="AA14" s="53">
        <f t="shared" si="3"/>
        <v>1</v>
      </c>
      <c r="AB14" s="53">
        <f t="shared" si="4"/>
        <v>1</v>
      </c>
      <c r="AC14" s="53">
        <f t="shared" si="5"/>
        <v>1</v>
      </c>
    </row>
    <row r="15" spans="1:29" ht="71.25">
      <c r="A15" s="387" t="s">
        <v>2140</v>
      </c>
      <c r="B15" s="62" t="s">
        <v>2234</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9"/>
      <c r="M15" s="2654"/>
      <c r="N15" s="2654"/>
      <c r="O15" s="2654"/>
      <c r="P15" s="3255" t="s">
        <v>2141</v>
      </c>
      <c r="Q15" s="1392" t="str">
        <f t="shared" si="6"/>
        <v>商业繁华度</v>
      </c>
      <c r="R15" s="676" t="s">
        <v>17</v>
      </c>
      <c r="S15" s="677">
        <f t="shared" si="0"/>
        <v>100</v>
      </c>
      <c r="T15" s="676" t="s">
        <v>17</v>
      </c>
      <c r="U15" s="677">
        <f t="shared" si="1"/>
        <v>100</v>
      </c>
      <c r="V15" s="676" t="s">
        <v>17</v>
      </c>
      <c r="W15" s="677">
        <f t="shared" si="2"/>
        <v>100</v>
      </c>
      <c r="X15" s="1394"/>
      <c r="Y15" s="3248" t="s">
        <v>2141</v>
      </c>
      <c r="Z15" s="1393" t="str">
        <f t="shared" si="7"/>
        <v>商业繁华度</v>
      </c>
      <c r="AA15" s="1393">
        <f t="shared" si="3"/>
        <v>1</v>
      </c>
      <c r="AB15" s="1393">
        <f t="shared" si="4"/>
        <v>1</v>
      </c>
      <c r="AC15" s="1393">
        <f t="shared" si="5"/>
        <v>1</v>
      </c>
    </row>
    <row r="16" spans="1:29" ht="15">
      <c r="A16" s="375"/>
      <c r="B16" s="393"/>
      <c r="C16" s="394"/>
      <c r="D16" s="395"/>
      <c r="E16" s="394"/>
      <c r="F16" s="396"/>
      <c r="G16" s="394"/>
      <c r="H16" s="397"/>
      <c r="I16" s="394"/>
      <c r="J16" s="395"/>
      <c r="K16" s="549"/>
      <c r="L16" s="2659"/>
      <c r="M16" s="2654"/>
      <c r="N16" s="2654"/>
      <c r="O16" s="2654"/>
      <c r="P16" s="3256"/>
      <c r="Q16" s="1392"/>
      <c r="R16" s="676"/>
      <c r="S16" s="677"/>
      <c r="T16" s="676"/>
      <c r="U16" s="677"/>
      <c r="V16" s="676"/>
      <c r="W16" s="677"/>
      <c r="X16" s="1394"/>
      <c r="Y16" s="3249"/>
      <c r="Z16" s="1393"/>
      <c r="AA16" s="1393">
        <v>1</v>
      </c>
      <c r="AB16" s="1393">
        <v>1</v>
      </c>
      <c r="AC16" s="1393">
        <v>1</v>
      </c>
    </row>
    <row r="17" spans="1:29" ht="85.5">
      <c r="A17" s="375"/>
      <c r="B17" s="398" t="s">
        <v>1705</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56"/>
      <c r="Q17" s="1392" t="str">
        <f>B17</f>
        <v>交通便捷度</v>
      </c>
      <c r="R17" s="676" t="s">
        <v>17</v>
      </c>
      <c r="S17" s="677">
        <f>F17</f>
        <v>100</v>
      </c>
      <c r="T17" s="676" t="s">
        <v>17</v>
      </c>
      <c r="U17" s="677">
        <f>H17</f>
        <v>100</v>
      </c>
      <c r="V17" s="676" t="s">
        <v>17</v>
      </c>
      <c r="W17" s="677">
        <f>J17</f>
        <v>100</v>
      </c>
      <c r="X17" s="1394"/>
      <c r="Y17" s="3249"/>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2659"/>
      <c r="M18" s="2654"/>
      <c r="N18" s="2654"/>
      <c r="O18" s="2654"/>
      <c r="P18" s="3256"/>
      <c r="Q18" s="1392"/>
      <c r="R18" s="676"/>
      <c r="S18" s="677"/>
      <c r="T18" s="676"/>
      <c r="U18" s="677"/>
      <c r="V18" s="676"/>
      <c r="W18" s="677"/>
      <c r="X18" s="1394"/>
      <c r="Y18" s="3249"/>
      <c r="Z18" s="1393"/>
      <c r="AA18" s="1393">
        <v>1</v>
      </c>
      <c r="AB18" s="1393">
        <v>1</v>
      </c>
      <c r="AC18" s="1393">
        <v>1</v>
      </c>
    </row>
    <row r="19" spans="1:29" ht="42.75">
      <c r="A19" s="375"/>
      <c r="B19" s="398" t="s">
        <v>2235</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56"/>
      <c r="Q19" s="1392" t="str">
        <f>B19</f>
        <v>公共配套设施</v>
      </c>
      <c r="R19" s="676" t="s">
        <v>17</v>
      </c>
      <c r="S19" s="677">
        <f>F19</f>
        <v>100</v>
      </c>
      <c r="T19" s="676" t="s">
        <v>17</v>
      </c>
      <c r="U19" s="677">
        <f>H19</f>
        <v>100</v>
      </c>
      <c r="V19" s="676" t="s">
        <v>17</v>
      </c>
      <c r="W19" s="677">
        <f>J19</f>
        <v>100</v>
      </c>
      <c r="X19" s="1394"/>
      <c r="Y19" s="3249"/>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2659"/>
      <c r="M20" s="2654"/>
      <c r="N20" s="2654"/>
      <c r="O20" s="2654"/>
      <c r="P20" s="3256"/>
      <c r="Q20" s="1392"/>
      <c r="R20" s="676"/>
      <c r="S20" s="677"/>
      <c r="T20" s="676"/>
      <c r="U20" s="677"/>
      <c r="V20" s="676"/>
      <c r="W20" s="677"/>
      <c r="X20" s="1394"/>
      <c r="Y20" s="3249"/>
      <c r="Z20" s="1393"/>
      <c r="AA20" s="1393">
        <v>1</v>
      </c>
      <c r="AB20" s="1393">
        <v>1</v>
      </c>
      <c r="AC20" s="1393">
        <v>1</v>
      </c>
    </row>
    <row r="21" spans="1:29" ht="28.5">
      <c r="A21" s="375"/>
      <c r="B21" s="594" t="s">
        <v>2236</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6"/>
      <c r="Q21" s="1392" t="str">
        <f>B21</f>
        <v>基础设施水平</v>
      </c>
      <c r="R21" s="676" t="s">
        <v>17</v>
      </c>
      <c r="S21" s="677">
        <f>F21</f>
        <v>100</v>
      </c>
      <c r="T21" s="676" t="s">
        <v>17</v>
      </c>
      <c r="U21" s="677">
        <f>H21</f>
        <v>100</v>
      </c>
      <c r="V21" s="676" t="s">
        <v>17</v>
      </c>
      <c r="W21" s="677">
        <f>J21</f>
        <v>100</v>
      </c>
      <c r="X21" s="1394"/>
      <c r="Y21" s="3249"/>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2659"/>
      <c r="M22" s="2654"/>
      <c r="N22" s="2654"/>
      <c r="O22" s="2654"/>
      <c r="P22" s="3256"/>
      <c r="Q22" s="1392"/>
      <c r="R22" s="676"/>
      <c r="S22" s="677"/>
      <c r="T22" s="676"/>
      <c r="U22" s="677"/>
      <c r="V22" s="676"/>
      <c r="W22" s="677"/>
      <c r="X22" s="1394"/>
      <c r="Y22" s="3249"/>
      <c r="Z22" s="1393"/>
      <c r="AA22" s="1393">
        <v>1</v>
      </c>
      <c r="AB22" s="1393">
        <v>1</v>
      </c>
      <c r="AC22" s="1393">
        <v>1</v>
      </c>
    </row>
    <row r="23" spans="1:29" ht="57">
      <c r="A23" s="375"/>
      <c r="B23" s="398" t="s">
        <v>1707</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56"/>
      <c r="Q23" s="1392" t="str">
        <f>B23</f>
        <v>自然及人文环境</v>
      </c>
      <c r="R23" s="676" t="s">
        <v>17</v>
      </c>
      <c r="S23" s="677">
        <f>F23</f>
        <v>100</v>
      </c>
      <c r="T23" s="676" t="s">
        <v>17</v>
      </c>
      <c r="U23" s="677">
        <f>H23</f>
        <v>100</v>
      </c>
      <c r="V23" s="676" t="s">
        <v>17</v>
      </c>
      <c r="W23" s="677">
        <f>J23</f>
        <v>100</v>
      </c>
      <c r="X23" s="1394"/>
      <c r="Y23" s="3249"/>
      <c r="Z23" s="1393" t="str">
        <f>Q23</f>
        <v>自然及人文环境</v>
      </c>
      <c r="AA23" s="1393">
        <f t="shared" si="3"/>
        <v>1</v>
      </c>
      <c r="AB23" s="1393">
        <f t="shared" si="4"/>
        <v>1</v>
      </c>
      <c r="AC23" s="1393">
        <f t="shared" si="5"/>
        <v>1</v>
      </c>
    </row>
    <row r="24" spans="1:29" ht="15">
      <c r="A24" s="375"/>
      <c r="B24" s="403"/>
      <c r="C24" s="394"/>
      <c r="D24" s="395"/>
      <c r="E24" s="1882"/>
      <c r="F24" s="396"/>
      <c r="G24" s="1881"/>
      <c r="H24" s="395"/>
      <c r="I24" s="1882"/>
      <c r="J24" s="395"/>
      <c r="K24" s="549"/>
      <c r="L24" s="2659"/>
      <c r="M24" s="2654"/>
      <c r="N24" s="2654"/>
      <c r="O24" s="2654"/>
      <c r="P24" s="3256"/>
      <c r="Q24" s="1392"/>
      <c r="R24" s="676"/>
      <c r="S24" s="677"/>
      <c r="T24" s="676"/>
      <c r="U24" s="677"/>
      <c r="V24" s="676"/>
      <c r="W24" s="677"/>
      <c r="X24" s="1394"/>
      <c r="Y24" s="3249"/>
      <c r="Z24" s="1393"/>
      <c r="AA24" s="1393">
        <v>1</v>
      </c>
      <c r="AB24" s="1393">
        <v>1</v>
      </c>
      <c r="AC24" s="1393">
        <v>1</v>
      </c>
    </row>
    <row r="25" spans="1:29" ht="15">
      <c r="A25" s="375"/>
      <c r="B25" s="370" t="s">
        <v>2237</v>
      </c>
      <c r="C25" s="550"/>
      <c r="D25" s="382">
        <v>100</v>
      </c>
      <c r="E25" s="550"/>
      <c r="F25" s="408">
        <f>SUMIF(86:86,E25,87:87)-SUMIF(86:86,C25,87:87)+100</f>
        <v>100</v>
      </c>
      <c r="G25" s="550"/>
      <c r="H25" s="382">
        <f>SUMIF(86:86,G25,87:87)-SUMIF(86:86,C25,87:87)+100</f>
        <v>100</v>
      </c>
      <c r="I25" s="550"/>
      <c r="J25" s="382">
        <f>SUMIF(86:86,I25,87:87)-SUMIF(86:86,C25,87:87)+100</f>
        <v>100</v>
      </c>
      <c r="K25" s="546"/>
      <c r="L25" s="2659"/>
      <c r="M25" s="2654"/>
      <c r="N25" s="2654"/>
      <c r="O25" s="2654"/>
      <c r="P25" s="3256"/>
      <c r="Q25" s="1392" t="str">
        <f t="shared" ref="Q25:Q46" si="11">B25</f>
        <v>临街状况</v>
      </c>
      <c r="R25" s="676" t="s">
        <v>17</v>
      </c>
      <c r="S25" s="677">
        <f>F25</f>
        <v>100</v>
      </c>
      <c r="T25" s="676" t="s">
        <v>17</v>
      </c>
      <c r="U25" s="677">
        <f>H25</f>
        <v>100</v>
      </c>
      <c r="V25" s="676" t="s">
        <v>17</v>
      </c>
      <c r="W25" s="677">
        <f>J25</f>
        <v>100</v>
      </c>
      <c r="X25" s="1394"/>
      <c r="Y25" s="3249"/>
      <c r="Z25" s="1393" t="str">
        <f>Q25</f>
        <v>临街状况</v>
      </c>
      <c r="AA25" s="1393">
        <f t="shared" si="3"/>
        <v>1</v>
      </c>
      <c r="AB25" s="1393">
        <f t="shared" si="4"/>
        <v>1</v>
      </c>
      <c r="AC25" s="1393">
        <f t="shared" si="5"/>
        <v>1</v>
      </c>
    </row>
    <row r="26" spans="1:29" ht="15">
      <c r="A26" s="375"/>
      <c r="B26" s="1176" t="s">
        <v>2238</v>
      </c>
      <c r="C26" s="381"/>
      <c r="D26" s="382">
        <v>100</v>
      </c>
      <c r="E26" s="381"/>
      <c r="F26" s="408">
        <f>SUMIF(88:88,E26,89:89)-SUMIF(88:88,C26,89:89)+100</f>
        <v>100</v>
      </c>
      <c r="G26" s="381"/>
      <c r="H26" s="382">
        <f>SUMIF(88:88,G26,89:89)-SUMIF(88:88,C26,89:89)+100</f>
        <v>100</v>
      </c>
      <c r="I26" s="381"/>
      <c r="J26" s="382">
        <f>SUMIF(88:88,I26,89:89)-SUMIF(88:88,C26,89:89)+100</f>
        <v>100</v>
      </c>
      <c r="K26" s="547"/>
      <c r="L26" s="2659"/>
      <c r="M26" s="2654"/>
      <c r="N26" s="2654"/>
      <c r="O26" s="2654"/>
      <c r="P26" s="3256"/>
      <c r="Q26" s="1392" t="str">
        <f t="shared" si="11"/>
        <v>平面位置/可视性</v>
      </c>
      <c r="R26" s="676" t="s">
        <v>17</v>
      </c>
      <c r="S26" s="677">
        <f>F26</f>
        <v>100</v>
      </c>
      <c r="T26" s="676" t="s">
        <v>17</v>
      </c>
      <c r="U26" s="677">
        <f>H26</f>
        <v>100</v>
      </c>
      <c r="V26" s="676" t="s">
        <v>17</v>
      </c>
      <c r="W26" s="677">
        <f>J26</f>
        <v>100</v>
      </c>
      <c r="X26" s="1394"/>
      <c r="Y26" s="3249"/>
      <c r="Z26" s="1393" t="str">
        <f>Q26</f>
        <v>平面位置/可视性</v>
      </c>
      <c r="AA26" s="1393">
        <f t="shared" si="3"/>
        <v>1</v>
      </c>
      <c r="AB26" s="1393">
        <f t="shared" si="4"/>
        <v>1</v>
      </c>
      <c r="AC26" s="1393">
        <f t="shared" si="5"/>
        <v>1</v>
      </c>
    </row>
    <row r="27" spans="1:29" s="107" customFormat="1" ht="15">
      <c r="A27" s="378"/>
      <c r="B27" s="398" t="s">
        <v>2239</v>
      </c>
      <c r="C27" s="1937"/>
      <c r="D27" s="409">
        <v>100</v>
      </c>
      <c r="E27" s="1937"/>
      <c r="F27" s="403">
        <f>SUMIF(90:90,E27,91:91)-SUMIF(90:90,C27,91:91)+100</f>
        <v>100</v>
      </c>
      <c r="G27" s="1937"/>
      <c r="H27" s="409">
        <f>SUMIF(90:90,G27,91:91)-SUMIF(90:90,C27,91:91)+100</f>
        <v>100</v>
      </c>
      <c r="I27" s="1937"/>
      <c r="J27" s="409">
        <f>SUMIF(90:90,I27,91:91)-SUMIF(90:90,C27,91:91)+100</f>
        <v>100</v>
      </c>
      <c r="K27" s="546"/>
      <c r="L27" s="2655"/>
      <c r="M27" s="2606"/>
      <c r="N27" s="2606"/>
      <c r="O27" s="2606"/>
      <c r="P27" s="3256"/>
      <c r="Q27" s="538" t="str">
        <f t="shared" si="11"/>
        <v>人流量</v>
      </c>
      <c r="R27" s="673" t="s">
        <v>17</v>
      </c>
      <c r="S27" s="674">
        <f>F27</f>
        <v>100</v>
      </c>
      <c r="T27" s="673" t="s">
        <v>17</v>
      </c>
      <c r="U27" s="674">
        <f>H27</f>
        <v>100</v>
      </c>
      <c r="V27" s="673" t="s">
        <v>17</v>
      </c>
      <c r="W27" s="674">
        <f>J27</f>
        <v>100</v>
      </c>
      <c r="X27" s="675"/>
      <c r="Y27" s="3249"/>
      <c r="Z27" s="53" t="str">
        <f>Q27</f>
        <v>人流量</v>
      </c>
      <c r="AA27" s="1393">
        <f>D27/F27</f>
        <v>1</v>
      </c>
      <c r="AB27" s="1393">
        <f>D27/H27</f>
        <v>1</v>
      </c>
      <c r="AC27" s="1393">
        <f>D27/J27</f>
        <v>1</v>
      </c>
    </row>
    <row r="28" spans="1:29" ht="15">
      <c r="A28" s="375"/>
      <c r="B28" s="370" t="s">
        <v>2240</v>
      </c>
      <c r="C28" s="550"/>
      <c r="D28" s="382">
        <v>100</v>
      </c>
      <c r="E28" s="550"/>
      <c r="F28" s="408">
        <f>SUMIF(92:92,E28,93:93)-SUMIF(92:92,C28,93:93)+100</f>
        <v>100</v>
      </c>
      <c r="G28" s="550"/>
      <c r="H28" s="382">
        <f>SUMIF(92:92,G28,93:93)-SUMIF(92:92,C28,93:93)+100</f>
        <v>100</v>
      </c>
      <c r="I28" s="550"/>
      <c r="J28" s="382">
        <f>SUMIF(92:92,I28,93:93)-SUMIF(92:92,C28,93:93)+100</f>
        <v>100</v>
      </c>
      <c r="K28" s="547"/>
      <c r="L28" s="2659"/>
      <c r="M28" s="2654"/>
      <c r="N28" s="2654"/>
      <c r="O28" s="2654"/>
      <c r="P28" s="3256"/>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49"/>
      <c r="Z28" s="1393" t="str">
        <f t="shared" ref="Z28:Z46" si="15">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6"/>
      <c r="Q29" s="1392">
        <f t="shared" si="11"/>
        <v>111</v>
      </c>
      <c r="R29" s="676" t="s">
        <v>17</v>
      </c>
      <c r="S29" s="677">
        <f t="shared" si="12"/>
        <v>100</v>
      </c>
      <c r="T29" s="676" t="s">
        <v>17</v>
      </c>
      <c r="U29" s="677">
        <f t="shared" si="13"/>
        <v>100</v>
      </c>
      <c r="V29" s="676" t="s">
        <v>17</v>
      </c>
      <c r="W29" s="677">
        <f t="shared" si="14"/>
        <v>100</v>
      </c>
      <c r="X29" s="1394"/>
      <c r="Y29" s="3249"/>
      <c r="Z29" s="1393">
        <f t="shared" si="15"/>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6"/>
      <c r="Q30" s="1392">
        <f t="shared" si="11"/>
        <v>111</v>
      </c>
      <c r="R30" s="676" t="s">
        <v>17</v>
      </c>
      <c r="S30" s="677">
        <f t="shared" si="12"/>
        <v>100</v>
      </c>
      <c r="T30" s="676" t="s">
        <v>17</v>
      </c>
      <c r="U30" s="677">
        <f t="shared" si="13"/>
        <v>100</v>
      </c>
      <c r="V30" s="676" t="s">
        <v>17</v>
      </c>
      <c r="W30" s="677">
        <f t="shared" si="14"/>
        <v>100</v>
      </c>
      <c r="X30" s="1394"/>
      <c r="Y30" s="3249"/>
      <c r="Z30" s="1393">
        <f t="shared" si="15"/>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6"/>
      <c r="Q31" s="1392">
        <f t="shared" si="11"/>
        <v>111</v>
      </c>
      <c r="R31" s="676" t="s">
        <v>17</v>
      </c>
      <c r="S31" s="677">
        <f t="shared" si="12"/>
        <v>100</v>
      </c>
      <c r="T31" s="676" t="s">
        <v>17</v>
      </c>
      <c r="U31" s="677">
        <f t="shared" si="13"/>
        <v>100</v>
      </c>
      <c r="V31" s="676" t="s">
        <v>17</v>
      </c>
      <c r="W31" s="677">
        <f t="shared" si="14"/>
        <v>100</v>
      </c>
      <c r="X31" s="1394"/>
      <c r="Y31" s="3249"/>
      <c r="Z31" s="1393">
        <f t="shared" si="15"/>
        <v>111</v>
      </c>
      <c r="AA31" s="1393">
        <f t="shared" si="3"/>
        <v>1</v>
      </c>
      <c r="AB31" s="1393">
        <f t="shared" si="4"/>
        <v>1</v>
      </c>
      <c r="AC31" s="1393">
        <f t="shared" si="5"/>
        <v>1</v>
      </c>
    </row>
    <row r="32" spans="1:29" ht="15">
      <c r="A32" s="387" t="s">
        <v>2144</v>
      </c>
      <c r="B32" s="64" t="s">
        <v>2241</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9"/>
      <c r="M32" s="2654"/>
      <c r="N32" s="2654"/>
      <c r="O32" s="2654"/>
      <c r="P32" s="3250" t="s">
        <v>2146</v>
      </c>
      <c r="Q32" s="1392" t="str">
        <f t="shared" si="11"/>
        <v>商业类型</v>
      </c>
      <c r="R32" s="676" t="s">
        <v>17</v>
      </c>
      <c r="S32" s="677">
        <f t="shared" si="12"/>
        <v>100</v>
      </c>
      <c r="T32" s="676" t="s">
        <v>17</v>
      </c>
      <c r="U32" s="677">
        <f t="shared" si="13"/>
        <v>100</v>
      </c>
      <c r="V32" s="676" t="s">
        <v>17</v>
      </c>
      <c r="W32" s="677">
        <f t="shared" si="14"/>
        <v>100</v>
      </c>
      <c r="X32" s="1394"/>
      <c r="Y32" s="3253" t="s">
        <v>2146</v>
      </c>
      <c r="Z32" s="1393" t="str">
        <f t="shared" si="15"/>
        <v>商业类型</v>
      </c>
      <c r="AA32" s="1393">
        <f t="shared" si="3"/>
        <v>1</v>
      </c>
      <c r="AB32" s="1393">
        <f t="shared" si="4"/>
        <v>1</v>
      </c>
      <c r="AC32" s="1393">
        <f t="shared" si="5"/>
        <v>1</v>
      </c>
    </row>
    <row r="33" spans="1:29" s="416" customFormat="1" ht="15">
      <c r="A33" s="414"/>
      <c r="B33" s="370" t="s">
        <v>2147</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8"/>
      <c r="M33" s="2660"/>
      <c r="N33" s="2660"/>
      <c r="O33" s="2660"/>
      <c r="P33" s="3251"/>
      <c r="Q33" s="539" t="str">
        <f t="shared" si="11"/>
        <v>项目建筑规模</v>
      </c>
      <c r="R33" s="678" t="s">
        <v>17</v>
      </c>
      <c r="S33" s="679" t="e">
        <f t="shared" si="12"/>
        <v>#N/A</v>
      </c>
      <c r="T33" s="678" t="s">
        <v>17</v>
      </c>
      <c r="U33" s="679" t="e">
        <f t="shared" si="13"/>
        <v>#N/A</v>
      </c>
      <c r="V33" s="678" t="s">
        <v>17</v>
      </c>
      <c r="W33" s="679" t="e">
        <f t="shared" si="14"/>
        <v>#N/A</v>
      </c>
      <c r="X33" s="680"/>
      <c r="Y33" s="3253"/>
      <c r="Z33" s="681" t="str">
        <f t="shared" si="15"/>
        <v>项目建筑规模</v>
      </c>
      <c r="AA33" s="1393" t="e">
        <f t="shared" si="3"/>
        <v>#N/A</v>
      </c>
      <c r="AB33" s="1393" t="e">
        <f t="shared" si="4"/>
        <v>#N/A</v>
      </c>
      <c r="AC33" s="1393" t="e">
        <f t="shared" si="5"/>
        <v>#N/A</v>
      </c>
    </row>
    <row r="34" spans="1:29" ht="15">
      <c r="A34" s="417"/>
      <c r="B34" s="370" t="s">
        <v>2148</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9"/>
      <c r="M34" s="2654"/>
      <c r="N34" s="2654"/>
      <c r="O34" s="2654"/>
      <c r="P34" s="3251"/>
      <c r="Q34" s="1392" t="str">
        <f t="shared" si="11"/>
        <v>建筑结构</v>
      </c>
      <c r="R34" s="676" t="s">
        <v>17</v>
      </c>
      <c r="S34" s="677">
        <f t="shared" si="12"/>
        <v>100</v>
      </c>
      <c r="T34" s="676" t="s">
        <v>17</v>
      </c>
      <c r="U34" s="677">
        <f t="shared" si="13"/>
        <v>100</v>
      </c>
      <c r="V34" s="676" t="s">
        <v>17</v>
      </c>
      <c r="W34" s="677">
        <f t="shared" si="14"/>
        <v>100</v>
      </c>
      <c r="X34" s="1394"/>
      <c r="Y34" s="3253"/>
      <c r="Z34" s="1393" t="str">
        <f t="shared" si="15"/>
        <v>建筑结构</v>
      </c>
      <c r="AA34" s="1393">
        <f t="shared" si="3"/>
        <v>1</v>
      </c>
      <c r="AB34" s="1393">
        <f t="shared" si="4"/>
        <v>1</v>
      </c>
      <c r="AC34" s="1393">
        <f t="shared" si="5"/>
        <v>1</v>
      </c>
    </row>
    <row r="35" spans="1:29" ht="15">
      <c r="A35" s="417"/>
      <c r="B35" s="370" t="s">
        <v>2242</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9"/>
      <c r="M35" s="2654"/>
      <c r="N35" s="2654"/>
      <c r="O35" s="2654"/>
      <c r="P35" s="3251"/>
      <c r="Q35" s="1392" t="str">
        <f t="shared" si="11"/>
        <v>公共部分装修</v>
      </c>
      <c r="R35" s="676" t="s">
        <v>17</v>
      </c>
      <c r="S35" s="677">
        <f t="shared" si="12"/>
        <v>100</v>
      </c>
      <c r="T35" s="676" t="s">
        <v>17</v>
      </c>
      <c r="U35" s="677">
        <f t="shared" si="13"/>
        <v>100</v>
      </c>
      <c r="V35" s="676" t="s">
        <v>17</v>
      </c>
      <c r="W35" s="677">
        <f t="shared" si="14"/>
        <v>100</v>
      </c>
      <c r="X35" s="1394"/>
      <c r="Y35" s="3253"/>
      <c r="Z35" s="1393" t="str">
        <f t="shared" si="15"/>
        <v>公共部分装修</v>
      </c>
      <c r="AA35" s="1393">
        <f t="shared" si="3"/>
        <v>1</v>
      </c>
      <c r="AB35" s="1393">
        <f t="shared" si="4"/>
        <v>1</v>
      </c>
      <c r="AC35" s="1393">
        <f t="shared" si="5"/>
        <v>1</v>
      </c>
    </row>
    <row r="36" spans="1:29" ht="15">
      <c r="A36" s="417"/>
      <c r="B36" s="370" t="s">
        <v>2243</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9"/>
      <c r="M36" s="2654"/>
      <c r="N36" s="2654"/>
      <c r="O36" s="2654"/>
      <c r="P36" s="3251"/>
      <c r="Q36" s="1392" t="str">
        <f t="shared" si="11"/>
        <v>成新度</v>
      </c>
      <c r="R36" s="676" t="s">
        <v>17</v>
      </c>
      <c r="S36" s="677" t="e">
        <f t="shared" si="12"/>
        <v>#N/A</v>
      </c>
      <c r="T36" s="676" t="s">
        <v>17</v>
      </c>
      <c r="U36" s="677" t="e">
        <f t="shared" si="13"/>
        <v>#N/A</v>
      </c>
      <c r="V36" s="676" t="s">
        <v>17</v>
      </c>
      <c r="W36" s="677" t="e">
        <f t="shared" si="14"/>
        <v>#N/A</v>
      </c>
      <c r="X36" s="1394"/>
      <c r="Y36" s="3253"/>
      <c r="Z36" s="1393" t="str">
        <f t="shared" si="15"/>
        <v>成新度</v>
      </c>
      <c r="AA36" s="1393" t="e">
        <f t="shared" si="3"/>
        <v>#N/A</v>
      </c>
      <c r="AB36" s="1393" t="e">
        <f t="shared" si="4"/>
        <v>#N/A</v>
      </c>
      <c r="AC36" s="1393" t="e">
        <f t="shared" si="5"/>
        <v>#N/A</v>
      </c>
    </row>
    <row r="37" spans="1:29" s="107" customFormat="1" ht="15">
      <c r="A37" s="418"/>
      <c r="B37" s="370" t="s">
        <v>2244</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5"/>
      <c r="M37" s="2606"/>
      <c r="N37" s="2606"/>
      <c r="O37" s="2606"/>
      <c r="P37" s="3251"/>
      <c r="Q37" s="538" t="str">
        <f t="shared" si="11"/>
        <v>市政基础设施</v>
      </c>
      <c r="R37" s="673" t="s">
        <v>17</v>
      </c>
      <c r="S37" s="674">
        <f t="shared" si="12"/>
        <v>100</v>
      </c>
      <c r="T37" s="673" t="s">
        <v>17</v>
      </c>
      <c r="U37" s="674">
        <f t="shared" si="13"/>
        <v>100</v>
      </c>
      <c r="V37" s="673" t="s">
        <v>17</v>
      </c>
      <c r="W37" s="674">
        <f t="shared" si="14"/>
        <v>100</v>
      </c>
      <c r="X37" s="675"/>
      <c r="Y37" s="3253"/>
      <c r="Z37" s="53" t="str">
        <f t="shared" si="15"/>
        <v>市政基础设施</v>
      </c>
      <c r="AA37" s="53">
        <f t="shared" si="3"/>
        <v>1</v>
      </c>
      <c r="AB37" s="53">
        <f t="shared" si="4"/>
        <v>1</v>
      </c>
      <c r="AC37" s="53">
        <f t="shared" si="5"/>
        <v>1</v>
      </c>
    </row>
    <row r="38" spans="1:29" ht="15">
      <c r="A38" s="417"/>
      <c r="B38" s="370" t="s">
        <v>2245</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9"/>
      <c r="M38" s="2654"/>
      <c r="N38" s="2654"/>
      <c r="O38" s="2654"/>
      <c r="P38" s="3251" t="s">
        <v>2146</v>
      </c>
      <c r="Q38" s="1392" t="str">
        <f t="shared" si="11"/>
        <v>业态</v>
      </c>
      <c r="R38" s="676" t="s">
        <v>17</v>
      </c>
      <c r="S38" s="677">
        <f t="shared" si="12"/>
        <v>100</v>
      </c>
      <c r="T38" s="676" t="s">
        <v>17</v>
      </c>
      <c r="U38" s="677">
        <f t="shared" si="13"/>
        <v>100</v>
      </c>
      <c r="V38" s="676" t="s">
        <v>17</v>
      </c>
      <c r="W38" s="677">
        <f t="shared" si="14"/>
        <v>100</v>
      </c>
      <c r="X38" s="1394"/>
      <c r="Y38" s="3253" t="s">
        <v>2146</v>
      </c>
      <c r="Z38" s="1393" t="str">
        <f t="shared" si="15"/>
        <v>业态</v>
      </c>
      <c r="AA38" s="1393">
        <f t="shared" si="3"/>
        <v>1</v>
      </c>
      <c r="AB38" s="1393">
        <f t="shared" si="4"/>
        <v>1</v>
      </c>
      <c r="AC38" s="1393">
        <f t="shared" si="5"/>
        <v>1</v>
      </c>
    </row>
    <row r="39" spans="1:29" ht="15">
      <c r="A39" s="417"/>
      <c r="B39" s="370" t="s">
        <v>2246</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9"/>
      <c r="M39" s="2654"/>
      <c r="N39" s="2654"/>
      <c r="O39" s="2654"/>
      <c r="P39" s="3251"/>
      <c r="Q39" s="1392" t="str">
        <f t="shared" si="11"/>
        <v>层高</v>
      </c>
      <c r="R39" s="676" t="s">
        <v>17</v>
      </c>
      <c r="S39" s="677">
        <f t="shared" si="12"/>
        <v>100</v>
      </c>
      <c r="T39" s="676" t="s">
        <v>17</v>
      </c>
      <c r="U39" s="677">
        <f t="shared" si="13"/>
        <v>100</v>
      </c>
      <c r="V39" s="676" t="s">
        <v>17</v>
      </c>
      <c r="W39" s="677">
        <f t="shared" si="14"/>
        <v>100</v>
      </c>
      <c r="X39" s="1394"/>
      <c r="Y39" s="3253"/>
      <c r="Z39" s="1393" t="str">
        <f t="shared" si="15"/>
        <v>层高</v>
      </c>
      <c r="AA39" s="1393">
        <f t="shared" si="3"/>
        <v>1</v>
      </c>
      <c r="AB39" s="1393">
        <f t="shared" si="4"/>
        <v>1</v>
      </c>
      <c r="AC39" s="1393">
        <f t="shared" si="5"/>
        <v>1</v>
      </c>
    </row>
    <row r="40" spans="1:29" ht="15">
      <c r="A40" s="417"/>
      <c r="B40" s="370" t="s">
        <v>2247</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51"/>
      <c r="Q40" s="1392" t="str">
        <f t="shared" si="11"/>
        <v>单套建筑面积</v>
      </c>
      <c r="R40" s="676" t="s">
        <v>17</v>
      </c>
      <c r="S40" s="677">
        <f t="shared" si="12"/>
        <v>100</v>
      </c>
      <c r="T40" s="676" t="s">
        <v>17</v>
      </c>
      <c r="U40" s="677">
        <f t="shared" si="13"/>
        <v>100</v>
      </c>
      <c r="V40" s="676" t="s">
        <v>17</v>
      </c>
      <c r="W40" s="677">
        <f t="shared" si="14"/>
        <v>100</v>
      </c>
      <c r="X40" s="1394"/>
      <c r="Y40" s="3253"/>
      <c r="Z40" s="1393" t="str">
        <f t="shared" si="15"/>
        <v>单套建筑面积</v>
      </c>
      <c r="AA40" s="1393">
        <f t="shared" si="3"/>
        <v>1</v>
      </c>
      <c r="AB40" s="1393">
        <f t="shared" si="4"/>
        <v>1</v>
      </c>
      <c r="AC40" s="1393">
        <f t="shared" si="5"/>
        <v>1</v>
      </c>
    </row>
    <row r="41" spans="1:29" s="416" customFormat="1" ht="15">
      <c r="A41" s="414"/>
      <c r="B41" s="408" t="s">
        <v>2248</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51"/>
      <c r="Q41" s="539" t="str">
        <f t="shared" si="11"/>
        <v>进深比</v>
      </c>
      <c r="R41" s="678" t="s">
        <v>17</v>
      </c>
      <c r="S41" s="679">
        <f t="shared" si="12"/>
        <v>100</v>
      </c>
      <c r="T41" s="678" t="s">
        <v>17</v>
      </c>
      <c r="U41" s="679">
        <f t="shared" si="13"/>
        <v>100</v>
      </c>
      <c r="V41" s="678" t="s">
        <v>17</v>
      </c>
      <c r="W41" s="679">
        <f t="shared" si="14"/>
        <v>100</v>
      </c>
      <c r="X41" s="680"/>
      <c r="Y41" s="3253"/>
      <c r="Z41" s="681" t="str">
        <f t="shared" si="15"/>
        <v>进深比</v>
      </c>
      <c r="AA41" s="1393">
        <f t="shared" si="3"/>
        <v>1</v>
      </c>
      <c r="AB41" s="1393">
        <f t="shared" si="4"/>
        <v>1</v>
      </c>
      <c r="AC41" s="1393">
        <f t="shared" si="5"/>
        <v>1</v>
      </c>
    </row>
    <row r="42" spans="1:29" ht="15">
      <c r="A42" s="417"/>
      <c r="B42" s="370" t="s">
        <v>2249</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9"/>
      <c r="M42" s="2654"/>
      <c r="N42" s="2654"/>
      <c r="O42" s="2654"/>
      <c r="P42" s="3251"/>
      <c r="Q42" s="1392" t="str">
        <f t="shared" si="11"/>
        <v>内部装修</v>
      </c>
      <c r="R42" s="676" t="s">
        <v>17</v>
      </c>
      <c r="S42" s="677">
        <f t="shared" si="12"/>
        <v>100</v>
      </c>
      <c r="T42" s="676" t="s">
        <v>17</v>
      </c>
      <c r="U42" s="677">
        <f t="shared" si="13"/>
        <v>100</v>
      </c>
      <c r="V42" s="676" t="s">
        <v>17</v>
      </c>
      <c r="W42" s="677">
        <f t="shared" si="14"/>
        <v>100</v>
      </c>
      <c r="X42" s="1394"/>
      <c r="Y42" s="3253"/>
      <c r="Z42" s="1393" t="str">
        <f t="shared" si="15"/>
        <v>内部装修</v>
      </c>
      <c r="AA42" s="1393">
        <f t="shared" si="3"/>
        <v>1</v>
      </c>
      <c r="AB42" s="1393">
        <f t="shared" si="4"/>
        <v>1</v>
      </c>
      <c r="AC42" s="1393">
        <f t="shared" si="5"/>
        <v>1</v>
      </c>
    </row>
    <row r="43" spans="1:29" ht="15">
      <c r="A43" s="417"/>
      <c r="B43" s="370" t="s">
        <v>2157</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51"/>
      <c r="Q43" s="1392" t="str">
        <f t="shared" si="11"/>
        <v>内部装修维护情况</v>
      </c>
      <c r="R43" s="676" t="s">
        <v>17</v>
      </c>
      <c r="S43" s="677">
        <f t="shared" si="12"/>
        <v>100</v>
      </c>
      <c r="T43" s="676" t="s">
        <v>17</v>
      </c>
      <c r="U43" s="677">
        <f t="shared" si="13"/>
        <v>100</v>
      </c>
      <c r="V43" s="676" t="s">
        <v>17</v>
      </c>
      <c r="W43" s="677">
        <f t="shared" si="14"/>
        <v>100</v>
      </c>
      <c r="X43" s="1394"/>
      <c r="Y43" s="3253"/>
      <c r="Z43" s="1393" t="str">
        <f t="shared" si="15"/>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6"/>
      <c r="N44" s="2606"/>
      <c r="O44" s="2606"/>
      <c r="P44" s="3251"/>
      <c r="Q44" s="538">
        <f t="shared" si="11"/>
        <v>111</v>
      </c>
      <c r="R44" s="673" t="s">
        <v>17</v>
      </c>
      <c r="S44" s="674">
        <f t="shared" si="12"/>
        <v>100</v>
      </c>
      <c r="T44" s="673" t="s">
        <v>17</v>
      </c>
      <c r="U44" s="674">
        <f t="shared" si="13"/>
        <v>100</v>
      </c>
      <c r="V44" s="673" t="s">
        <v>17</v>
      </c>
      <c r="W44" s="674">
        <f t="shared" si="14"/>
        <v>100</v>
      </c>
      <c r="X44" s="675"/>
      <c r="Y44" s="3253"/>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51"/>
      <c r="Q45" s="1392">
        <f t="shared" si="11"/>
        <v>111</v>
      </c>
      <c r="R45" s="676" t="s">
        <v>17</v>
      </c>
      <c r="S45" s="677">
        <f t="shared" si="12"/>
        <v>100</v>
      </c>
      <c r="T45" s="676" t="s">
        <v>17</v>
      </c>
      <c r="U45" s="677">
        <f t="shared" si="13"/>
        <v>100</v>
      </c>
      <c r="V45" s="676" t="s">
        <v>17</v>
      </c>
      <c r="W45" s="677">
        <f t="shared" si="14"/>
        <v>100</v>
      </c>
      <c r="X45" s="1394"/>
      <c r="Y45" s="3253"/>
      <c r="Z45" s="1393">
        <f t="shared" si="15"/>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52"/>
      <c r="Q46" s="1392">
        <f t="shared" si="11"/>
        <v>111</v>
      </c>
      <c r="R46" s="676" t="s">
        <v>17</v>
      </c>
      <c r="S46" s="677">
        <f t="shared" si="12"/>
        <v>100</v>
      </c>
      <c r="T46" s="676" t="s">
        <v>17</v>
      </c>
      <c r="U46" s="677">
        <f t="shared" si="13"/>
        <v>100</v>
      </c>
      <c r="V46" s="676" t="s">
        <v>17</v>
      </c>
      <c r="W46" s="677">
        <f t="shared" si="14"/>
        <v>100</v>
      </c>
      <c r="X46" s="1394"/>
      <c r="Y46" s="3254"/>
      <c r="Z46" s="1393">
        <f t="shared" si="15"/>
        <v>111</v>
      </c>
      <c r="AA46" s="1393">
        <f t="shared" si="3"/>
        <v>1</v>
      </c>
      <c r="AB46" s="1393">
        <f t="shared" si="4"/>
        <v>1</v>
      </c>
      <c r="AC46" s="1393">
        <f t="shared" si="5"/>
        <v>1</v>
      </c>
    </row>
    <row r="47" spans="1:29" ht="15">
      <c r="A47" s="424" t="s">
        <v>2158</v>
      </c>
      <c r="B47" s="425"/>
      <c r="C47" s="1191" t="s">
        <v>1</v>
      </c>
      <c r="D47" s="426"/>
      <c r="E47" s="427"/>
      <c r="F47" s="428"/>
      <c r="G47" s="429"/>
      <c r="H47" s="430"/>
      <c r="I47" s="427"/>
      <c r="J47" s="430"/>
      <c r="K47" s="683"/>
      <c r="L47" s="2661"/>
      <c r="M47" s="2654"/>
      <c r="N47" s="2654"/>
      <c r="O47" s="2654"/>
      <c r="P47" s="3247" t="str">
        <f>A47</f>
        <v>成交单价（元/平方米）</v>
      </c>
      <c r="Q47" s="3247"/>
      <c r="R47" s="3242">
        <f>E47</f>
        <v>0</v>
      </c>
      <c r="S47" s="3242"/>
      <c r="T47" s="3242">
        <f>G47</f>
        <v>0</v>
      </c>
      <c r="U47" s="3242"/>
      <c r="V47" s="3242">
        <f>I47</f>
        <v>0</v>
      </c>
      <c r="W47" s="3242"/>
      <c r="X47" s="393"/>
      <c r="Y47" s="682"/>
      <c r="Z47" s="393"/>
      <c r="AA47" s="393"/>
      <c r="AB47" s="393"/>
      <c r="AC47" s="393"/>
    </row>
    <row r="48" spans="1:29" ht="15.75" thickBot="1">
      <c r="A48" s="431" t="s">
        <v>2250</v>
      </c>
      <c r="B48" s="432"/>
      <c r="C48" s="1192" t="e">
        <f>R49</f>
        <v>#DIV/0!</v>
      </c>
      <c r="D48" s="2301" t="s">
        <v>2640</v>
      </c>
      <c r="E48" s="1193" t="e">
        <f>R48</f>
        <v>#DIV/0!</v>
      </c>
      <c r="F48" s="2302"/>
      <c r="G48" s="1192" t="e">
        <f>T48</f>
        <v>#DIV/0!</v>
      </c>
      <c r="H48" s="2302"/>
      <c r="I48" s="1193" t="e">
        <f>V48</f>
        <v>#DIV/0!</v>
      </c>
      <c r="J48" s="2302"/>
      <c r="K48" s="2304">
        <f>F48+H48+J48</f>
        <v>0</v>
      </c>
      <c r="L48" s="2661"/>
      <c r="M48" s="2654"/>
      <c r="N48" s="2654"/>
      <c r="O48" s="2654"/>
      <c r="P48" s="3247" t="str">
        <f>A48</f>
        <v>比较价值（元/平方米）</v>
      </c>
      <c r="Q48" s="3247"/>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393"/>
      <c r="Y48" s="393"/>
      <c r="Z48" s="393"/>
      <c r="AA48" s="393"/>
      <c r="AB48" s="393"/>
      <c r="AC48" s="393"/>
    </row>
    <row r="49" spans="1:29" ht="15.75" thickBot="1">
      <c r="A49" s="435" t="s">
        <v>2251</v>
      </c>
      <c r="B49" s="436"/>
      <c r="C49" s="357" t="e">
        <f>R49</f>
        <v>#DIV/0!</v>
      </c>
      <c r="D49" s="357"/>
      <c r="E49" s="357"/>
      <c r="F49" s="357"/>
      <c r="G49" s="357"/>
      <c r="H49" s="357"/>
      <c r="I49" s="357"/>
      <c r="J49" s="357"/>
      <c r="K49" s="684"/>
      <c r="L49" s="2661"/>
      <c r="M49" s="2654"/>
      <c r="N49" s="2654"/>
      <c r="O49" s="2654"/>
      <c r="P49" s="3244" t="str">
        <f>A49</f>
        <v>估价对象XX用房的比较价值（楼面单价，元/平方米）</v>
      </c>
      <c r="Q49" s="3245"/>
      <c r="R49" s="3246" t="e">
        <f>IF(F1="售价",ROUND(IF(D48="简单平均",AVERAGE(R48:V48),R48*F48+T48*H48+V48*J48),0),ROUND(IF(D48="简单平均",AVERAGE(R48:V48),R48*F48+T48*H48+V48*J48),1))</f>
        <v>#DIV/0!</v>
      </c>
      <c r="S49" s="3246"/>
      <c r="T49" s="3246"/>
      <c r="U49" s="3246"/>
      <c r="V49" s="3246"/>
      <c r="W49" s="324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2252</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2253</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2254</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2255</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2129</v>
      </c>
      <c r="B58" s="449"/>
      <c r="C58" s="1213" t="str">
        <f>YEAR(C7)&amp;"-"&amp;MONTH(C7)</f>
        <v>2022-10</v>
      </c>
      <c r="D58" s="1214">
        <f>EDATE(C58,-1)</f>
        <v>44805</v>
      </c>
      <c r="E58" s="1214">
        <f t="shared" ref="E58:N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EDATE(N58,-1)</f>
        <v>44470</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c r="E59" s="454"/>
      <c r="F59" s="454"/>
      <c r="G59" s="454"/>
      <c r="H59" s="454"/>
      <c r="I59" s="454"/>
      <c r="J59" s="454"/>
      <c r="K59" s="454"/>
      <c r="L59" s="454"/>
      <c r="M59" s="455"/>
      <c r="N59" s="454"/>
      <c r="O59" s="455"/>
      <c r="P59" s="2678"/>
      <c r="Q59" s="2606"/>
      <c r="R59" s="2606"/>
      <c r="S59" s="2606"/>
      <c r="T59" s="2606"/>
      <c r="U59" s="2606"/>
      <c r="V59" s="2606"/>
      <c r="W59" s="2606"/>
      <c r="X59" s="2606"/>
      <c r="Y59" s="2606"/>
      <c r="Z59" s="2606"/>
      <c r="AA59" s="2606"/>
      <c r="AB59" s="2606"/>
      <c r="AC59" s="2606"/>
    </row>
    <row r="60" spans="1:29" s="107" customFormat="1" ht="15.75" thickBot="1">
      <c r="A60" s="457" t="s">
        <v>2166</v>
      </c>
      <c r="B60" s="458"/>
      <c r="C60" s="459"/>
      <c r="D60" s="460"/>
      <c r="E60" s="460"/>
      <c r="F60" s="460"/>
      <c r="G60" s="460"/>
      <c r="H60" s="460"/>
      <c r="I60" s="460"/>
      <c r="J60" s="460"/>
      <c r="K60" s="460"/>
      <c r="L60" s="460"/>
      <c r="M60" s="461"/>
      <c r="N60" s="460"/>
      <c r="O60" s="461"/>
      <c r="P60" s="2678"/>
      <c r="Q60" s="2675"/>
      <c r="R60" s="2606"/>
      <c r="S60" s="2606"/>
      <c r="T60" s="2606"/>
      <c r="U60" s="2606"/>
      <c r="V60" s="2606"/>
      <c r="W60" s="2606"/>
      <c r="X60" s="2606"/>
      <c r="Y60" s="2606"/>
      <c r="Z60" s="2606"/>
      <c r="AA60" s="2606"/>
      <c r="AB60" s="2606"/>
      <c r="AC60" s="2606"/>
    </row>
    <row r="61" spans="1:29" s="107" customFormat="1" ht="15">
      <c r="A61" s="463" t="s">
        <v>2131</v>
      </c>
      <c r="B61" s="452"/>
      <c r="C61" s="464" t="s">
        <v>2233</v>
      </c>
      <c r="D61" s="34"/>
      <c r="E61" s="34"/>
      <c r="F61" s="34"/>
      <c r="G61" s="34"/>
      <c r="H61" s="34"/>
      <c r="I61" s="34"/>
      <c r="J61" s="34"/>
      <c r="K61" s="34"/>
      <c r="L61" s="465"/>
      <c r="M61" s="466"/>
      <c r="N61" s="2687"/>
      <c r="O61" s="2687"/>
      <c r="P61" s="2679"/>
      <c r="Q61" s="2675"/>
      <c r="R61" s="2606"/>
      <c r="S61" s="2606"/>
      <c r="T61" s="2606"/>
      <c r="U61" s="2606"/>
      <c r="V61" s="2606"/>
      <c r="W61" s="2606"/>
      <c r="X61" s="2606"/>
      <c r="Y61" s="2606"/>
      <c r="Z61" s="2606"/>
      <c r="AA61" s="2606"/>
      <c r="AB61" s="2606"/>
      <c r="AC61" s="2606"/>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6"/>
      <c r="S62" s="2606"/>
      <c r="T62" s="2606"/>
      <c r="U62" s="2606"/>
      <c r="V62" s="2606"/>
      <c r="W62" s="2606"/>
      <c r="X62" s="2606"/>
      <c r="Y62" s="2606"/>
      <c r="Z62" s="2606"/>
      <c r="AA62" s="2606"/>
      <c r="AB62" s="2606"/>
      <c r="AC62" s="2606"/>
    </row>
    <row r="63" spans="1:29">
      <c r="A63" s="387" t="s">
        <v>2169</v>
      </c>
      <c r="B63" s="468" t="s">
        <v>2135</v>
      </c>
      <c r="C63" s="469">
        <f>C9</f>
        <v>0</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2138</v>
      </c>
      <c r="C65" s="478" t="s">
        <v>2170</v>
      </c>
      <c r="D65" s="478" t="s">
        <v>2171</v>
      </c>
      <c r="E65" s="478" t="s">
        <v>2172</v>
      </c>
      <c r="F65" s="478" t="s">
        <v>2173</v>
      </c>
      <c r="G65" s="478" t="s">
        <v>2174</v>
      </c>
      <c r="H65" s="478" t="s">
        <v>2175</v>
      </c>
      <c r="I65" s="478" t="s">
        <v>2176</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c r="D68" s="488"/>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2140</v>
      </c>
      <c r="B76" s="468" t="s">
        <v>2177</v>
      </c>
      <c r="C76" s="512" t="s">
        <v>2178</v>
      </c>
      <c r="D76" s="512" t="s">
        <v>2179</v>
      </c>
      <c r="E76" s="512" t="s">
        <v>2180</v>
      </c>
      <c r="F76" s="512" t="s">
        <v>2181</v>
      </c>
      <c r="G76" s="512" t="s">
        <v>2182</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2183</v>
      </c>
      <c r="C78" s="517" t="s">
        <v>2178</v>
      </c>
      <c r="D78" s="517" t="s">
        <v>2179</v>
      </c>
      <c r="E78" s="517" t="s">
        <v>2180</v>
      </c>
      <c r="F78" s="517" t="s">
        <v>2181</v>
      </c>
      <c r="G78" s="517" t="s">
        <v>2182</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2184</v>
      </c>
      <c r="C80" s="517" t="s">
        <v>2178</v>
      </c>
      <c r="D80" s="517" t="s">
        <v>2179</v>
      </c>
      <c r="E80" s="517" t="s">
        <v>2180</v>
      </c>
      <c r="F80" s="517" t="s">
        <v>2181</v>
      </c>
      <c r="G80" s="517" t="s">
        <v>2182</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2236</v>
      </c>
      <c r="C82" s="589" t="s">
        <v>2256</v>
      </c>
      <c r="D82" s="589" t="s">
        <v>2257</v>
      </c>
      <c r="E82" s="589" t="s">
        <v>2258</v>
      </c>
      <c r="F82" s="589" t="s">
        <v>2259</v>
      </c>
      <c r="G82" s="589" t="s">
        <v>2260</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2190</v>
      </c>
      <c r="C84" s="517" t="s">
        <v>2178</v>
      </c>
      <c r="D84" s="517" t="s">
        <v>2179</v>
      </c>
      <c r="E84" s="517" t="s">
        <v>2180</v>
      </c>
      <c r="F84" s="517" t="s">
        <v>2181</v>
      </c>
      <c r="G84" s="517" t="s">
        <v>2182</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2261</v>
      </c>
      <c r="C86" s="493"/>
      <c r="D86" s="493"/>
      <c r="E86" s="493"/>
      <c r="F86" s="493"/>
      <c r="G86" s="493"/>
      <c r="H86" s="493"/>
      <c r="I86" s="493"/>
      <c r="J86" s="493"/>
      <c r="K86" s="493"/>
      <c r="L86" s="518"/>
      <c r="M86" s="519"/>
      <c r="N86" s="2687"/>
      <c r="O86" s="2687"/>
      <c r="P86" s="2680"/>
      <c r="Q86" s="2675"/>
      <c r="R86" s="2606"/>
      <c r="S86" s="2606"/>
      <c r="T86" s="2606"/>
      <c r="U86" s="2606"/>
      <c r="V86" s="2606"/>
      <c r="W86" s="2606"/>
      <c r="X86" s="2606"/>
      <c r="Y86" s="2606"/>
      <c r="Z86" s="2606"/>
      <c r="AA86" s="2606"/>
      <c r="AB86" s="2606"/>
      <c r="AC86" s="2606"/>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9"/>
      <c r="O87" s="2689"/>
      <c r="P87" s="2680"/>
      <c r="Q87" s="2675"/>
      <c r="R87" s="2606"/>
      <c r="S87" s="2606"/>
      <c r="T87" s="2606"/>
      <c r="U87" s="2606"/>
      <c r="V87" s="2606"/>
      <c r="W87" s="2606"/>
      <c r="X87" s="2606"/>
      <c r="Y87" s="2606"/>
      <c r="Z87" s="2606"/>
      <c r="AA87" s="2606"/>
      <c r="AB87" s="2606"/>
      <c r="AC87" s="2606"/>
    </row>
    <row r="88" spans="1:29" s="107" customFormat="1" ht="15.75" thickTop="1">
      <c r="A88" s="378"/>
      <c r="B88" s="477" t="str">
        <f>B26</f>
        <v>平面位置/可视性</v>
      </c>
      <c r="C88" s="493"/>
      <c r="D88" s="493"/>
      <c r="E88" s="493"/>
      <c r="F88" s="1910"/>
      <c r="G88" s="493"/>
      <c r="H88" s="493"/>
      <c r="I88" s="493"/>
      <c r="J88" s="493"/>
      <c r="K88" s="493"/>
      <c r="L88" s="493"/>
      <c r="M88" s="519"/>
      <c r="N88" s="2687"/>
      <c r="O88" s="2687"/>
      <c r="P88" s="2680"/>
      <c r="Q88" s="2675"/>
      <c r="R88" s="2606"/>
      <c r="S88" s="2606"/>
      <c r="T88" s="2606"/>
      <c r="U88" s="2606"/>
      <c r="V88" s="2606"/>
      <c r="W88" s="2606"/>
      <c r="X88" s="2606"/>
      <c r="Y88" s="2606"/>
      <c r="Z88" s="2606"/>
      <c r="AA88" s="2606"/>
      <c r="AB88" s="2606"/>
      <c r="AC88" s="2606"/>
    </row>
    <row r="89" spans="1:29" s="107" customFormat="1" ht="15.75" thickBot="1">
      <c r="A89" s="378"/>
      <c r="B89" s="482"/>
      <c r="C89" s="499"/>
      <c r="D89" s="475"/>
      <c r="E89" s="475"/>
      <c r="F89" s="475"/>
      <c r="G89" s="475"/>
      <c r="H89" s="475"/>
      <c r="I89" s="475"/>
      <c r="J89" s="475"/>
      <c r="K89" s="475"/>
      <c r="L89" s="475"/>
      <c r="M89" s="475"/>
      <c r="N89" s="2689"/>
      <c r="O89" s="2689"/>
      <c r="P89" s="2680"/>
      <c r="Q89" s="2675"/>
      <c r="R89" s="2606"/>
      <c r="S89" s="2606"/>
      <c r="T89" s="2606"/>
      <c r="U89" s="2606"/>
      <c r="V89" s="2606"/>
      <c r="W89" s="2606"/>
      <c r="X89" s="2606"/>
      <c r="Y89" s="2606"/>
      <c r="Z89" s="2606"/>
      <c r="AA89" s="2606"/>
      <c r="AB89" s="2606"/>
      <c r="AC89" s="2606"/>
    </row>
    <row r="90" spans="1:29" s="416" customFormat="1" ht="15.75" thickTop="1">
      <c r="A90" s="492"/>
      <c r="B90" s="477" t="str">
        <f>B27</f>
        <v>人流量</v>
      </c>
      <c r="C90" s="493"/>
      <c r="D90" s="493"/>
      <c r="E90" s="493"/>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c r="D92" s="493"/>
      <c r="E92" s="493"/>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c r="D93" s="475"/>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2144</v>
      </c>
      <c r="B100" s="468" t="s">
        <v>2262</v>
      </c>
      <c r="C100" s="470"/>
      <c r="D100" s="470"/>
      <c r="E100" s="470"/>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2194</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c r="D103" s="9"/>
      <c r="E103" s="9"/>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c r="D104" s="475"/>
      <c r="E104" s="475"/>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2195</v>
      </c>
      <c r="C105" s="493"/>
      <c r="D105" s="493"/>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2197</v>
      </c>
      <c r="C107" s="493"/>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2199</v>
      </c>
      <c r="C112" s="493"/>
      <c r="D112" s="493"/>
      <c r="E112" s="493"/>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2263</v>
      </c>
      <c r="C114" s="493"/>
      <c r="D114" s="493"/>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2264</v>
      </c>
      <c r="C116" s="493"/>
      <c r="D116" s="493"/>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2265</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2266</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2201</v>
      </c>
      <c r="C122" s="493"/>
      <c r="D122" s="493"/>
      <c r="E122" s="493"/>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2202</v>
      </c>
      <c r="C124" s="517" t="s">
        <v>2178</v>
      </c>
      <c r="D124" s="517" t="s">
        <v>2179</v>
      </c>
      <c r="E124" s="517" t="s">
        <v>2180</v>
      </c>
      <c r="F124" s="517" t="s">
        <v>2181</v>
      </c>
      <c r="G124" s="517" t="s">
        <v>2182</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70" zoomScaleNormal="70" zoomScaleSheetLayoutView="70" workbookViewId="0">
      <selection activeCell="M49" sqref="M49"/>
    </sheetView>
  </sheetViews>
  <sheetFormatPr defaultColWidth="9" defaultRowHeight="14.25"/>
  <cols>
    <col min="1" max="1" width="10.5" style="353" customWidth="1"/>
    <col min="2" max="2" width="18.25" style="353" customWidth="1"/>
    <col min="3" max="3" width="17.125" style="353" customWidth="1"/>
    <col min="4" max="4" width="12.125" style="353" customWidth="1"/>
    <col min="5" max="5" width="16.125" style="353" bestFit="1" customWidth="1"/>
    <col min="6" max="6" width="12.125" style="353" customWidth="1"/>
    <col min="7" max="7" width="15.5" style="353" customWidth="1"/>
    <col min="8" max="8" width="12.125" style="353" customWidth="1"/>
    <col min="9" max="9" width="15.5" style="353" customWidth="1"/>
    <col min="10" max="10" width="12.125" style="353" customWidth="1"/>
    <col min="11" max="11" width="12.125" style="438" customWidth="1"/>
    <col min="12" max="12" width="12.125" style="439" customWidth="1"/>
    <col min="13" max="15" width="12.125" style="353" customWidth="1"/>
    <col min="16" max="16" width="4.875" style="96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2109</v>
      </c>
      <c r="B1" s="1938" t="s">
        <v>2267</v>
      </c>
      <c r="C1" s="1256" t="s">
        <v>2111</v>
      </c>
      <c r="D1" s="1257" t="s">
        <v>27</v>
      </c>
      <c r="E1" s="1266"/>
      <c r="F1" s="1865" t="s">
        <v>3187</v>
      </c>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f>IF(C2="——",ROUND(C50*D3/10000,0),ROUND(C50*D3/10000,0)-D2)</f>
        <v>6</v>
      </c>
      <c r="C2" s="1867" t="s">
        <v>70</v>
      </c>
      <c r="D2" s="1160" t="e">
        <f ca="1">SUMIF(INDIRECT("'"&amp;F2&amp;"'"&amp;"!A:A"),"承租人权益价值",INDIRECT("'"&amp;F2&amp;"'"&amp;"!c:c"))</f>
        <v>#REF!</v>
      </c>
      <c r="E2" s="1868" t="s">
        <v>1909</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f>IF(C2="——",C50,ROUND(B2*10000/D3,0))</f>
        <v>5.0999999999999996</v>
      </c>
      <c r="C3" s="350" t="s">
        <v>2225</v>
      </c>
      <c r="D3" s="349">
        <f>IF(D1="",'数据-汇总表'!E3,SUMIF('数据-汇总表'!$C19:$C33,D1,'数据-汇总表'!$E19:$E33))</f>
        <v>11320.8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66" t="s">
        <v>2232</v>
      </c>
      <c r="Q4" s="3267"/>
      <c r="R4" s="3258" t="s">
        <v>2228</v>
      </c>
      <c r="S4" s="3259"/>
      <c r="T4" s="3258" t="s">
        <v>2229</v>
      </c>
      <c r="U4" s="3259"/>
      <c r="V4" s="3270" t="s">
        <v>2230</v>
      </c>
      <c r="W4" s="3270"/>
      <c r="X4" s="1939"/>
      <c r="Y4" s="3258" t="s">
        <v>2232</v>
      </c>
      <c r="Z4" s="3259"/>
      <c r="AA4" s="3257" t="s">
        <v>2228</v>
      </c>
      <c r="AB4" s="3257" t="s">
        <v>2229</v>
      </c>
      <c r="AC4" s="3263" t="s">
        <v>2230</v>
      </c>
    </row>
    <row r="5" spans="1:29" ht="15">
      <c r="A5" s="354"/>
      <c r="B5" s="355"/>
      <c r="C5" s="3261" t="s">
        <v>3252</v>
      </c>
      <c r="D5" s="3224"/>
      <c r="E5" s="3260" t="s">
        <v>3274</v>
      </c>
      <c r="F5" s="3222"/>
      <c r="G5" s="3261" t="s">
        <v>3277</v>
      </c>
      <c r="H5" s="3224"/>
      <c r="I5" s="3261" t="s">
        <v>3278</v>
      </c>
      <c r="J5" s="3224"/>
      <c r="K5" s="545"/>
      <c r="L5" s="2653"/>
      <c r="M5" s="2654"/>
      <c r="N5" s="2654"/>
      <c r="O5" s="2654"/>
      <c r="P5" s="3268"/>
      <c r="Q5" s="3237"/>
      <c r="R5" s="3219"/>
      <c r="S5" s="3220"/>
      <c r="T5" s="3219"/>
      <c r="U5" s="3220"/>
      <c r="V5" s="3242"/>
      <c r="W5" s="3242"/>
      <c r="X5" s="1394"/>
      <c r="Y5" s="3219"/>
      <c r="Z5" s="3220"/>
      <c r="AA5" s="3213"/>
      <c r="AB5" s="3213"/>
      <c r="AC5" s="3264"/>
    </row>
    <row r="6" spans="1:29" ht="15.75" thickBot="1">
      <c r="A6" s="356"/>
      <c r="B6" s="357"/>
      <c r="C6" s="3262" t="s">
        <v>3253</v>
      </c>
      <c r="D6" s="3226"/>
      <c r="E6" s="3227" t="s">
        <v>2127</v>
      </c>
      <c r="F6" s="3228"/>
      <c r="G6" s="3225" t="s">
        <v>2127</v>
      </c>
      <c r="H6" s="3226"/>
      <c r="I6" s="3225" t="s">
        <v>2127</v>
      </c>
      <c r="J6" s="3226"/>
      <c r="K6" s="545" t="s">
        <v>2128</v>
      </c>
      <c r="L6" s="2653"/>
      <c r="M6" s="2654"/>
      <c r="N6" s="2654"/>
      <c r="O6" s="2654"/>
      <c r="P6" s="3269"/>
      <c r="Q6" s="3239"/>
      <c r="R6" s="3219"/>
      <c r="S6" s="3220"/>
      <c r="T6" s="3240"/>
      <c r="U6" s="3241"/>
      <c r="V6" s="3242"/>
      <c r="W6" s="3242"/>
      <c r="X6" s="1394"/>
      <c r="Y6" s="3240"/>
      <c r="Z6" s="3241"/>
      <c r="AA6" s="3214"/>
      <c r="AB6" s="3214"/>
      <c r="AC6" s="3265"/>
    </row>
    <row r="7" spans="1:29" s="107" customFormat="1" ht="15.75" thickBot="1">
      <c r="A7" s="358" t="s">
        <v>2129</v>
      </c>
      <c r="B7" s="359"/>
      <c r="C7" s="360">
        <f>'数据-取费表'!B2</f>
        <v>44848</v>
      </c>
      <c r="D7" s="361">
        <v>100</v>
      </c>
      <c r="E7" s="362">
        <v>44835</v>
      </c>
      <c r="F7" s="363">
        <f>SUMIF(59:59,YEAR(E7)&amp;"-"&amp;MONTH(E7),60:60)</f>
        <v>100</v>
      </c>
      <c r="G7" s="362">
        <v>44835</v>
      </c>
      <c r="H7" s="361">
        <f>SUMIF(59:59,YEAR(G7)&amp;"-"&amp;MONTH(G7),60:60)</f>
        <v>100</v>
      </c>
      <c r="I7" s="362">
        <v>44835</v>
      </c>
      <c r="J7" s="361">
        <f>SUMIF(59:59,YEAR(I7)&amp;"-"&amp;MONTH(I7),60:60)</f>
        <v>100</v>
      </c>
      <c r="K7" s="41"/>
      <c r="L7" s="2655"/>
      <c r="M7" s="2606"/>
      <c r="N7" s="2606"/>
      <c r="O7" s="2606"/>
      <c r="P7" s="3271" t="s">
        <v>2130</v>
      </c>
      <c r="Q7" s="3243"/>
      <c r="R7" s="673" t="s">
        <v>17</v>
      </c>
      <c r="S7" s="674">
        <f t="shared" ref="S7:S15" si="0">F7</f>
        <v>100</v>
      </c>
      <c r="T7" s="673" t="s">
        <v>17</v>
      </c>
      <c r="U7" s="674">
        <f t="shared" ref="U7:U15" si="1">H7</f>
        <v>100</v>
      </c>
      <c r="V7" s="673" t="s">
        <v>17</v>
      </c>
      <c r="W7" s="674">
        <f t="shared" ref="W7:W15" si="2">J7</f>
        <v>100</v>
      </c>
      <c r="X7" s="675"/>
      <c r="Y7" s="3215" t="s">
        <v>2130</v>
      </c>
      <c r="Z7" s="3216"/>
      <c r="AA7" s="53">
        <f>D7/F7</f>
        <v>1</v>
      </c>
      <c r="AB7" s="53">
        <f>D7/H7</f>
        <v>1</v>
      </c>
      <c r="AC7" s="887">
        <f>D7/J7</f>
        <v>1</v>
      </c>
    </row>
    <row r="8" spans="1:29" s="107" customFormat="1" ht="15.75" thickBot="1">
      <c r="A8" s="358" t="s">
        <v>2131</v>
      </c>
      <c r="B8" s="359"/>
      <c r="C8" s="364" t="s">
        <v>2233</v>
      </c>
      <c r="D8" s="361">
        <v>100</v>
      </c>
      <c r="E8" s="364" t="s">
        <v>3190</v>
      </c>
      <c r="F8" s="363">
        <f>SUMIF(62:62,E8,63:63)-SUMIF(62:62,C8,63:63)+100</f>
        <v>100</v>
      </c>
      <c r="G8" s="364" t="s">
        <v>3190</v>
      </c>
      <c r="H8" s="361">
        <f>SUMIF(62:62,G8,63:63)-SUMIF(62:62,C8,63:63)+100</f>
        <v>100</v>
      </c>
      <c r="I8" s="364" t="s">
        <v>3190</v>
      </c>
      <c r="J8" s="361">
        <f>SUMIF(62:62,I8,63:63)-SUMIF(62:62,C8,63:63)+100</f>
        <v>100</v>
      </c>
      <c r="K8" s="41"/>
      <c r="L8" s="2655"/>
      <c r="M8" s="2606"/>
      <c r="N8" s="2606"/>
      <c r="O8" s="2606"/>
      <c r="P8" s="3271" t="s">
        <v>2133</v>
      </c>
      <c r="Q8" s="3216"/>
      <c r="R8" s="673" t="s">
        <v>17</v>
      </c>
      <c r="S8" s="674">
        <f t="shared" si="0"/>
        <v>100</v>
      </c>
      <c r="T8" s="673" t="s">
        <v>17</v>
      </c>
      <c r="U8" s="674">
        <f t="shared" si="1"/>
        <v>100</v>
      </c>
      <c r="V8" s="673" t="s">
        <v>17</v>
      </c>
      <c r="W8" s="674">
        <f t="shared" si="2"/>
        <v>100</v>
      </c>
      <c r="X8" s="675"/>
      <c r="Y8" s="3215" t="s">
        <v>2133</v>
      </c>
      <c r="Z8" s="3216"/>
      <c r="AA8" s="53">
        <f t="shared" ref="AA8:AA47" si="3">D8/F8</f>
        <v>1</v>
      </c>
      <c r="AB8" s="53">
        <f t="shared" ref="AB8:AB47" si="4">D8/H8</f>
        <v>1</v>
      </c>
      <c r="AC8" s="887">
        <f t="shared" ref="AC8:AC47" si="5">D8/J8</f>
        <v>1</v>
      </c>
    </row>
    <row r="9" spans="1:29" s="107" customFormat="1">
      <c r="A9" s="365" t="s">
        <v>2134</v>
      </c>
      <c r="B9" s="64" t="s">
        <v>2135</v>
      </c>
      <c r="C9" s="366"/>
      <c r="D9" s="63">
        <v>100</v>
      </c>
      <c r="E9" s="368"/>
      <c r="F9" s="63">
        <f>SUMIF(64:64,E9,65:65)-SUMIF(64:64,C9,65:65)+100</f>
        <v>100</v>
      </c>
      <c r="G9" s="367"/>
      <c r="H9" s="63">
        <f>SUMIF(64:64,G9,65:65)-SUMIF(64:64,C9,65:65)+100</f>
        <v>100</v>
      </c>
      <c r="I9" s="367"/>
      <c r="J9" s="63">
        <f>SUMIF(64:64,I9,65:65)-SUMIF(64:64,C9,65:65)+100</f>
        <v>100</v>
      </c>
      <c r="K9" s="41"/>
      <c r="L9" s="2655"/>
      <c r="M9" s="2606"/>
      <c r="N9" s="2606"/>
      <c r="O9" s="2606"/>
      <c r="P9" s="3229"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887">
        <f t="shared" si="5"/>
        <v>1</v>
      </c>
    </row>
    <row r="10" spans="1:29" s="374" customFormat="1" ht="15">
      <c r="A10" s="369"/>
      <c r="B10" s="370" t="s">
        <v>2138</v>
      </c>
      <c r="C10" s="371" t="s">
        <v>3254</v>
      </c>
      <c r="D10" s="124">
        <v>100</v>
      </c>
      <c r="E10" s="371" t="s">
        <v>3254</v>
      </c>
      <c r="F10" s="124">
        <f>SUMIF(66:66,E10,67:67)-SUMIF(66:66,C10,67:67)+100</f>
        <v>100</v>
      </c>
      <c r="G10" s="371" t="s">
        <v>3254</v>
      </c>
      <c r="H10" s="124">
        <f>SUMIF(66:66,G10,67:67)-SUMIF(66:66,C10,67:67)+100</f>
        <v>100</v>
      </c>
      <c r="I10" s="371" t="s">
        <v>3254</v>
      </c>
      <c r="J10" s="124">
        <f>SUMIF(66:66,I10,67:67)-SUMIF(66:66,C10,67:67)+100</f>
        <v>100</v>
      </c>
      <c r="K10" s="546">
        <v>2</v>
      </c>
      <c r="L10" s="2656"/>
      <c r="M10" s="2657"/>
      <c r="N10" s="2657"/>
      <c r="O10" s="2657"/>
      <c r="P10" s="3229"/>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887">
        <f t="shared" si="5"/>
        <v>1</v>
      </c>
    </row>
    <row r="11" spans="1:29" ht="15.75" thickBot="1">
      <c r="A11" s="375"/>
      <c r="B11" s="370" t="s">
        <v>2139</v>
      </c>
      <c r="C11" s="376"/>
      <c r="D11" s="124">
        <v>100</v>
      </c>
      <c r="E11" s="376"/>
      <c r="F11" s="124">
        <f>LOOKUP(E11,69:69,70:70)-LOOKUP(C11,69:69,70:70)+100</f>
        <v>100</v>
      </c>
      <c r="G11" s="377"/>
      <c r="H11" s="124">
        <f>LOOKUP(G11,69:69,70:70)-LOOKUP(C11,69:69,70:70)+100</f>
        <v>100</v>
      </c>
      <c r="I11" s="376"/>
      <c r="J11" s="124">
        <f>LOOKUP(I11,69:69,70:70)-LOOKUP(C11,69:69,70:70)+100</f>
        <v>100</v>
      </c>
      <c r="K11" s="546">
        <v>3</v>
      </c>
      <c r="L11" s="2658"/>
      <c r="M11" s="2654"/>
      <c r="N11" s="2654"/>
      <c r="O11" s="2654"/>
      <c r="P11" s="3229"/>
      <c r="Q11" s="538" t="str">
        <f t="shared" si="6"/>
        <v>容积率</v>
      </c>
      <c r="R11" s="673" t="s">
        <v>17</v>
      </c>
      <c r="S11" s="674">
        <f t="shared" si="0"/>
        <v>100</v>
      </c>
      <c r="T11" s="673" t="s">
        <v>17</v>
      </c>
      <c r="U11" s="674">
        <f t="shared" si="1"/>
        <v>100</v>
      </c>
      <c r="V11" s="673" t="s">
        <v>17</v>
      </c>
      <c r="W11" s="674">
        <f t="shared" si="2"/>
        <v>100</v>
      </c>
      <c r="X11" s="675"/>
      <c r="Y11" s="3159"/>
      <c r="Z11" s="53" t="str">
        <f t="shared" si="7"/>
        <v>容积率</v>
      </c>
      <c r="AA11" s="53">
        <f t="shared" si="3"/>
        <v>1</v>
      </c>
      <c r="AB11" s="53">
        <f t="shared" si="4"/>
        <v>1</v>
      </c>
      <c r="AC11" s="887">
        <f t="shared" si="5"/>
        <v>1</v>
      </c>
    </row>
    <row r="12" spans="1:29" s="107" customFormat="1" ht="15" hidden="1">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6"/>
      <c r="N12" s="2606"/>
      <c r="O12" s="2606"/>
      <c r="P12" s="3229"/>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887">
        <f>D12/J12</f>
        <v>1</v>
      </c>
    </row>
    <row r="13" spans="1:29" ht="15" hidden="1">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29"/>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887">
        <f t="shared" si="5"/>
        <v>1</v>
      </c>
    </row>
    <row r="14" spans="1:29" ht="15.75" hidden="1"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29"/>
      <c r="Q14" s="538">
        <f t="shared" si="6"/>
        <v>111</v>
      </c>
      <c r="R14" s="673" t="s">
        <v>17</v>
      </c>
      <c r="S14" s="674">
        <f t="shared" si="0"/>
        <v>100</v>
      </c>
      <c r="T14" s="673" t="s">
        <v>17</v>
      </c>
      <c r="U14" s="674">
        <f t="shared" si="1"/>
        <v>100</v>
      </c>
      <c r="V14" s="673" t="s">
        <v>17</v>
      </c>
      <c r="W14" s="674">
        <f t="shared" si="2"/>
        <v>100</v>
      </c>
      <c r="X14" s="675"/>
      <c r="Y14" s="3159"/>
      <c r="Z14" s="53">
        <f t="shared" si="7"/>
        <v>111</v>
      </c>
      <c r="AA14" s="53">
        <f t="shared" si="3"/>
        <v>1</v>
      </c>
      <c r="AB14" s="53">
        <f t="shared" si="4"/>
        <v>1</v>
      </c>
      <c r="AC14" s="887">
        <f t="shared" si="5"/>
        <v>1</v>
      </c>
    </row>
    <row r="15" spans="1:29" ht="71.25">
      <c r="A15" s="387" t="s">
        <v>2140</v>
      </c>
      <c r="B15" s="562" t="s">
        <v>2268</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v>1</v>
      </c>
      <c r="L15" s="2659"/>
      <c r="M15" s="2654"/>
      <c r="N15" s="2654"/>
      <c r="O15" s="2654"/>
      <c r="P15" s="3255" t="s">
        <v>2141</v>
      </c>
      <c r="Q15" s="1392" t="str">
        <f t="shared" si="6"/>
        <v>办公集聚程度</v>
      </c>
      <c r="R15" s="676" t="s">
        <v>17</v>
      </c>
      <c r="S15" s="677">
        <f t="shared" si="0"/>
        <v>100</v>
      </c>
      <c r="T15" s="676" t="s">
        <v>17</v>
      </c>
      <c r="U15" s="677">
        <f t="shared" si="1"/>
        <v>100</v>
      </c>
      <c r="V15" s="676" t="s">
        <v>17</v>
      </c>
      <c r="W15" s="677">
        <f t="shared" si="2"/>
        <v>100</v>
      </c>
      <c r="X15" s="1394"/>
      <c r="Y15" s="3248" t="s">
        <v>2141</v>
      </c>
      <c r="Z15" s="1393" t="str">
        <f t="shared" si="7"/>
        <v>办公集聚程度</v>
      </c>
      <c r="AA15" s="1393">
        <f t="shared" si="3"/>
        <v>1</v>
      </c>
      <c r="AB15" s="1393">
        <f t="shared" si="4"/>
        <v>1</v>
      </c>
      <c r="AC15" s="1942">
        <f t="shared" si="5"/>
        <v>1</v>
      </c>
    </row>
    <row r="16" spans="1:29" ht="15">
      <c r="A16" s="375"/>
      <c r="B16" s="563"/>
      <c r="C16" s="1888" t="s">
        <v>3192</v>
      </c>
      <c r="D16" s="395"/>
      <c r="E16" s="1888" t="s">
        <v>3192</v>
      </c>
      <c r="F16" s="395"/>
      <c r="G16" s="1888" t="s">
        <v>3192</v>
      </c>
      <c r="H16" s="397"/>
      <c r="I16" s="1888" t="s">
        <v>3192</v>
      </c>
      <c r="J16" s="395"/>
      <c r="K16" s="549"/>
      <c r="L16" s="2659"/>
      <c r="M16" s="2654"/>
      <c r="N16" s="2654"/>
      <c r="O16" s="2654"/>
      <c r="P16" s="3256"/>
      <c r="Q16" s="1392"/>
      <c r="R16" s="676"/>
      <c r="S16" s="677"/>
      <c r="T16" s="676"/>
      <c r="U16" s="677"/>
      <c r="V16" s="676"/>
      <c r="W16" s="677"/>
      <c r="X16" s="1394"/>
      <c r="Y16" s="3249"/>
      <c r="Z16" s="1393"/>
      <c r="AA16" s="1393">
        <v>1</v>
      </c>
      <c r="AB16" s="1393">
        <v>1</v>
      </c>
      <c r="AC16" s="1942">
        <v>1</v>
      </c>
    </row>
    <row r="17" spans="1:29" ht="71.25">
      <c r="A17" s="375"/>
      <c r="B17" s="564" t="s">
        <v>1705</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9"/>
      <c r="M17" s="2654"/>
      <c r="N17" s="2654"/>
      <c r="O17" s="2654"/>
      <c r="P17" s="3256"/>
      <c r="Q17" s="1392" t="str">
        <f>B17</f>
        <v>交通便捷度</v>
      </c>
      <c r="R17" s="676" t="s">
        <v>17</v>
      </c>
      <c r="S17" s="677">
        <f>F17</f>
        <v>100</v>
      </c>
      <c r="T17" s="676" t="s">
        <v>17</v>
      </c>
      <c r="U17" s="677">
        <f>H17</f>
        <v>100</v>
      </c>
      <c r="V17" s="676" t="s">
        <v>17</v>
      </c>
      <c r="W17" s="677">
        <f>J17</f>
        <v>100</v>
      </c>
      <c r="X17" s="1394"/>
      <c r="Y17" s="3249"/>
      <c r="Z17" s="1393" t="str">
        <f>Q17</f>
        <v>交通便捷度</v>
      </c>
      <c r="AA17" s="1393">
        <f t="shared" si="3"/>
        <v>1</v>
      </c>
      <c r="AB17" s="1393">
        <f t="shared" si="4"/>
        <v>1</v>
      </c>
      <c r="AC17" s="1942">
        <f t="shared" si="5"/>
        <v>1</v>
      </c>
    </row>
    <row r="18" spans="1:29" ht="15">
      <c r="A18" s="375"/>
      <c r="B18" s="409"/>
      <c r="C18" s="1944" t="s">
        <v>3192</v>
      </c>
      <c r="D18" s="397"/>
      <c r="E18" s="1944" t="s">
        <v>3192</v>
      </c>
      <c r="F18" s="397"/>
      <c r="G18" s="1944" t="s">
        <v>3192</v>
      </c>
      <c r="H18" s="395"/>
      <c r="I18" s="1944" t="s">
        <v>3192</v>
      </c>
      <c r="J18" s="395"/>
      <c r="K18" s="549"/>
      <c r="L18" s="2659"/>
      <c r="M18" s="2654"/>
      <c r="N18" s="2654"/>
      <c r="O18" s="2654"/>
      <c r="P18" s="3256"/>
      <c r="Q18" s="1392"/>
      <c r="R18" s="676"/>
      <c r="S18" s="677"/>
      <c r="T18" s="676"/>
      <c r="U18" s="677"/>
      <c r="V18" s="676"/>
      <c r="W18" s="677"/>
      <c r="X18" s="1394"/>
      <c r="Y18" s="3249"/>
      <c r="Z18" s="1393"/>
      <c r="AA18" s="1393">
        <v>1</v>
      </c>
      <c r="AB18" s="1393">
        <v>1</v>
      </c>
      <c r="AC18" s="1942">
        <v>1</v>
      </c>
    </row>
    <row r="19" spans="1:29" ht="42.75">
      <c r="A19" s="375"/>
      <c r="B19" s="564" t="s">
        <v>2269</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2</v>
      </c>
      <c r="L19" s="2659"/>
      <c r="M19" s="2654"/>
      <c r="N19" s="2654"/>
      <c r="O19" s="2654"/>
      <c r="P19" s="3256"/>
      <c r="Q19" s="1392" t="str">
        <f>B19</f>
        <v>公共配套设施</v>
      </c>
      <c r="R19" s="676" t="s">
        <v>17</v>
      </c>
      <c r="S19" s="677">
        <f>F19</f>
        <v>100</v>
      </c>
      <c r="T19" s="676" t="s">
        <v>17</v>
      </c>
      <c r="U19" s="677">
        <f>H19</f>
        <v>100</v>
      </c>
      <c r="V19" s="676" t="s">
        <v>17</v>
      </c>
      <c r="W19" s="677">
        <f>J19</f>
        <v>100</v>
      </c>
      <c r="X19" s="1394"/>
      <c r="Y19" s="3249"/>
      <c r="Z19" s="1393" t="str">
        <f>Q19</f>
        <v>公共配套设施</v>
      </c>
      <c r="AA19" s="1393">
        <f t="shared" si="3"/>
        <v>1</v>
      </c>
      <c r="AB19" s="1393">
        <f t="shared" si="4"/>
        <v>1</v>
      </c>
      <c r="AC19" s="1942">
        <f t="shared" si="5"/>
        <v>1</v>
      </c>
    </row>
    <row r="20" spans="1:29" ht="15">
      <c r="A20" s="375"/>
      <c r="B20" s="409"/>
      <c r="C20" s="1888" t="s">
        <v>3192</v>
      </c>
      <c r="D20" s="395"/>
      <c r="E20" s="1888" t="s">
        <v>3192</v>
      </c>
      <c r="F20" s="395"/>
      <c r="G20" s="1888" t="s">
        <v>3192</v>
      </c>
      <c r="H20" s="395"/>
      <c r="I20" s="1888" t="s">
        <v>3192</v>
      </c>
      <c r="J20" s="395"/>
      <c r="K20" s="549"/>
      <c r="L20" s="2659"/>
      <c r="M20" s="2654"/>
      <c r="N20" s="2654"/>
      <c r="O20" s="2654"/>
      <c r="P20" s="3256"/>
      <c r="Q20" s="1392"/>
      <c r="R20" s="676"/>
      <c r="S20" s="677"/>
      <c r="T20" s="676"/>
      <c r="U20" s="677"/>
      <c r="V20" s="676"/>
      <c r="W20" s="677"/>
      <c r="X20" s="1394"/>
      <c r="Y20" s="3249"/>
      <c r="Z20" s="1393"/>
      <c r="AA20" s="1393">
        <v>1</v>
      </c>
      <c r="AB20" s="1393">
        <v>1</v>
      </c>
      <c r="AC20" s="1942">
        <v>1</v>
      </c>
    </row>
    <row r="21" spans="1:29" ht="28.5">
      <c r="A21" s="375"/>
      <c r="B21" s="565" t="s">
        <v>2270</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1</v>
      </c>
      <c r="L21" s="2659"/>
      <c r="M21" s="2654"/>
      <c r="N21" s="2654"/>
      <c r="O21" s="2654"/>
      <c r="P21" s="3256"/>
      <c r="Q21" s="1392" t="str">
        <f>B21</f>
        <v>基础设施水平</v>
      </c>
      <c r="R21" s="676" t="s">
        <v>17</v>
      </c>
      <c r="S21" s="677">
        <f>F21</f>
        <v>100</v>
      </c>
      <c r="T21" s="676" t="s">
        <v>17</v>
      </c>
      <c r="U21" s="677">
        <f>H21</f>
        <v>100</v>
      </c>
      <c r="V21" s="676" t="s">
        <v>17</v>
      </c>
      <c r="W21" s="677">
        <f>J21</f>
        <v>100</v>
      </c>
      <c r="X21" s="1394"/>
      <c r="Y21" s="3249"/>
      <c r="Z21" s="1393" t="str">
        <f>Q21</f>
        <v>基础设施水平</v>
      </c>
      <c r="AA21" s="1393">
        <f t="shared" ref="AA21" si="8">D21/F21</f>
        <v>1</v>
      </c>
      <c r="AB21" s="1393">
        <f t="shared" ref="AB21" si="9">D21/H21</f>
        <v>1</v>
      </c>
      <c r="AC21" s="1942">
        <f t="shared" ref="AC21" si="10">D21/J21</f>
        <v>1</v>
      </c>
    </row>
    <row r="22" spans="1:29" ht="15">
      <c r="A22" s="375"/>
      <c r="B22" s="565"/>
      <c r="C22" s="1944" t="s">
        <v>3193</v>
      </c>
      <c r="D22" s="395"/>
      <c r="E22" s="1944" t="s">
        <v>3193</v>
      </c>
      <c r="F22" s="395"/>
      <c r="G22" s="1944" t="s">
        <v>3193</v>
      </c>
      <c r="H22" s="395"/>
      <c r="I22" s="1944" t="s">
        <v>3193</v>
      </c>
      <c r="J22" s="395"/>
      <c r="K22" s="1174"/>
      <c r="L22" s="2659"/>
      <c r="M22" s="2654"/>
      <c r="N22" s="2654"/>
      <c r="O22" s="2654"/>
      <c r="P22" s="3256"/>
      <c r="Q22" s="1392"/>
      <c r="R22" s="676"/>
      <c r="S22" s="677"/>
      <c r="T22" s="676"/>
      <c r="U22" s="677"/>
      <c r="V22" s="676"/>
      <c r="W22" s="677"/>
      <c r="X22" s="1394"/>
      <c r="Y22" s="3249"/>
      <c r="Z22" s="1393"/>
      <c r="AA22" s="1393">
        <v>1</v>
      </c>
      <c r="AB22" s="1393">
        <v>1</v>
      </c>
      <c r="AC22" s="1942">
        <v>1</v>
      </c>
    </row>
    <row r="23" spans="1:29" ht="42.75">
      <c r="A23" s="375"/>
      <c r="B23" s="564" t="s">
        <v>2271</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59"/>
      <c r="M23" s="2654"/>
      <c r="N23" s="2654"/>
      <c r="O23" s="2654"/>
      <c r="P23" s="3256"/>
      <c r="Q23" s="1392" t="str">
        <f>B23</f>
        <v>环境质量</v>
      </c>
      <c r="R23" s="676" t="s">
        <v>17</v>
      </c>
      <c r="S23" s="677">
        <f>F23</f>
        <v>100</v>
      </c>
      <c r="T23" s="676" t="s">
        <v>17</v>
      </c>
      <c r="U23" s="677">
        <f>H23</f>
        <v>100</v>
      </c>
      <c r="V23" s="676" t="s">
        <v>17</v>
      </c>
      <c r="W23" s="677">
        <f>J23</f>
        <v>100</v>
      </c>
      <c r="X23" s="1394"/>
      <c r="Y23" s="3249"/>
      <c r="Z23" s="1393" t="str">
        <f>Q23</f>
        <v>环境质量</v>
      </c>
      <c r="AA23" s="1393">
        <f t="shared" si="3"/>
        <v>1</v>
      </c>
      <c r="AB23" s="1393">
        <f t="shared" si="4"/>
        <v>1</v>
      </c>
      <c r="AC23" s="1942">
        <f t="shared" si="5"/>
        <v>1</v>
      </c>
    </row>
    <row r="24" spans="1:29" ht="15">
      <c r="A24" s="375"/>
      <c r="B24" s="565"/>
      <c r="C24" s="1888" t="s">
        <v>3191</v>
      </c>
      <c r="D24" s="395"/>
      <c r="E24" s="1888" t="s">
        <v>3191</v>
      </c>
      <c r="F24" s="395"/>
      <c r="G24" s="1888" t="s">
        <v>3191</v>
      </c>
      <c r="H24" s="395"/>
      <c r="I24" s="1888" t="s">
        <v>3191</v>
      </c>
      <c r="J24" s="395"/>
      <c r="K24" s="549"/>
      <c r="L24" s="2659"/>
      <c r="M24" s="2654"/>
      <c r="N24" s="2654"/>
      <c r="O24" s="2654"/>
      <c r="P24" s="3256"/>
      <c r="Q24" s="1392"/>
      <c r="R24" s="676"/>
      <c r="S24" s="677"/>
      <c r="T24" s="676"/>
      <c r="U24" s="677"/>
      <c r="V24" s="676"/>
      <c r="W24" s="677"/>
      <c r="X24" s="1394"/>
      <c r="Y24" s="3249"/>
      <c r="Z24" s="1393"/>
      <c r="AA24" s="1393">
        <v>1</v>
      </c>
      <c r="AB24" s="1393">
        <v>1</v>
      </c>
      <c r="AC24" s="1942">
        <v>1</v>
      </c>
    </row>
    <row r="25" spans="1:29" ht="27">
      <c r="A25" s="354"/>
      <c r="B25" s="564" t="s">
        <v>2272</v>
      </c>
      <c r="C25" s="2967" t="s">
        <v>3255</v>
      </c>
      <c r="D25" s="382">
        <v>100</v>
      </c>
      <c r="E25" s="2966" t="s">
        <v>3275</v>
      </c>
      <c r="F25" s="382">
        <f>SUMIF(87:87,E26,88:88)-SUMIF(87:87,C26,88:88)+100</f>
        <v>101</v>
      </c>
      <c r="G25" s="2966" t="s">
        <v>3256</v>
      </c>
      <c r="H25" s="382">
        <f>SUMIF(87:87,G26,88:88)-SUMIF(87:87,C26,88:88)+100</f>
        <v>102</v>
      </c>
      <c r="I25" s="2966" t="s">
        <v>3256</v>
      </c>
      <c r="J25" s="382">
        <f>SUMIF(87:87,I26,88:88)-SUMIF(87:87,C26,88:88)+100</f>
        <v>102</v>
      </c>
      <c r="K25" s="548">
        <v>1</v>
      </c>
      <c r="L25" s="2659"/>
      <c r="M25" s="2654"/>
      <c r="N25" s="2654"/>
      <c r="O25" s="2654"/>
      <c r="P25" s="3256"/>
      <c r="Q25" s="1392" t="str">
        <f>B25</f>
        <v>毗邻道路的类型与等级</v>
      </c>
      <c r="R25" s="676" t="s">
        <v>17</v>
      </c>
      <c r="S25" s="677">
        <f>F25</f>
        <v>101</v>
      </c>
      <c r="T25" s="676" t="s">
        <v>17</v>
      </c>
      <c r="U25" s="677">
        <f>H25</f>
        <v>102</v>
      </c>
      <c r="V25" s="676" t="s">
        <v>17</v>
      </c>
      <c r="W25" s="677">
        <f>J25</f>
        <v>102</v>
      </c>
      <c r="X25" s="1394"/>
      <c r="Y25" s="3249"/>
      <c r="Z25" s="1393" t="str">
        <f>Q25</f>
        <v>毗邻道路的类型与等级</v>
      </c>
      <c r="AA25" s="1393">
        <f t="shared" si="3"/>
        <v>0.99009900990099009</v>
      </c>
      <c r="AB25" s="1393">
        <f t="shared" si="4"/>
        <v>0.98039215686274506</v>
      </c>
      <c r="AC25" s="1942">
        <f t="shared" si="5"/>
        <v>0.98039215686274506</v>
      </c>
    </row>
    <row r="26" spans="1:29" ht="15">
      <c r="A26" s="354"/>
      <c r="B26" s="409"/>
      <c r="C26" s="566" t="s">
        <v>3199</v>
      </c>
      <c r="D26" s="382"/>
      <c r="E26" s="550" t="s">
        <v>3276</v>
      </c>
      <c r="F26" s="382"/>
      <c r="G26" s="566" t="s">
        <v>3196</v>
      </c>
      <c r="H26" s="382"/>
      <c r="I26" s="566" t="s">
        <v>3196</v>
      </c>
      <c r="J26" s="382"/>
      <c r="K26" s="549"/>
      <c r="L26" s="2659"/>
      <c r="M26" s="2654"/>
      <c r="N26" s="2654"/>
      <c r="O26" s="2654"/>
      <c r="P26" s="3256"/>
      <c r="Q26" s="1392"/>
      <c r="R26" s="676"/>
      <c r="S26" s="677"/>
      <c r="T26" s="676"/>
      <c r="U26" s="677"/>
      <c r="V26" s="676"/>
      <c r="W26" s="677"/>
      <c r="X26" s="1394"/>
      <c r="Y26" s="3249"/>
      <c r="Z26" s="1393"/>
      <c r="AA26" s="1393">
        <v>1</v>
      </c>
      <c r="AB26" s="1393">
        <v>1</v>
      </c>
      <c r="AC26" s="1942">
        <v>1</v>
      </c>
    </row>
    <row r="27" spans="1:29" ht="15">
      <c r="A27" s="375"/>
      <c r="B27" s="409" t="s">
        <v>2240</v>
      </c>
      <c r="C27" s="566"/>
      <c r="D27" s="382">
        <v>100</v>
      </c>
      <c r="E27" s="550"/>
      <c r="F27" s="382">
        <f>SUMIF(89:89,E27,90:90)-SUMIF(89:89,C27,90:90)+100</f>
        <v>100</v>
      </c>
      <c r="G27" s="550"/>
      <c r="H27" s="382">
        <f>SUMIF(89:89,G27,90:90)-SUMIF(89:89,C27,90:90)+100</f>
        <v>100</v>
      </c>
      <c r="I27" s="550"/>
      <c r="J27" s="382">
        <f>SUMIF(89:89,I27,90:90)-SUMIF(89:89,C27,90:90)+100</f>
        <v>100</v>
      </c>
      <c r="K27" s="546">
        <v>2</v>
      </c>
      <c r="L27" s="2659"/>
      <c r="M27" s="2654"/>
      <c r="N27" s="2654"/>
      <c r="O27" s="2654"/>
      <c r="P27" s="3256"/>
      <c r="Q27" s="1392" t="str">
        <f t="shared" ref="Q27:Q47" si="11">B27</f>
        <v>楼层</v>
      </c>
      <c r="R27" s="676" t="s">
        <v>17</v>
      </c>
      <c r="S27" s="677">
        <f>F27</f>
        <v>100</v>
      </c>
      <c r="T27" s="676" t="s">
        <v>17</v>
      </c>
      <c r="U27" s="677">
        <f>H27</f>
        <v>100</v>
      </c>
      <c r="V27" s="676" t="s">
        <v>17</v>
      </c>
      <c r="W27" s="677">
        <f>J27</f>
        <v>100</v>
      </c>
      <c r="X27" s="1394"/>
      <c r="Y27" s="3249"/>
      <c r="Z27" s="1393" t="str">
        <f>Q27</f>
        <v>楼层</v>
      </c>
      <c r="AA27" s="1393">
        <f t="shared" si="3"/>
        <v>1</v>
      </c>
      <c r="AB27" s="1393">
        <f t="shared" si="4"/>
        <v>1</v>
      </c>
      <c r="AC27" s="1942">
        <f t="shared" si="5"/>
        <v>1</v>
      </c>
    </row>
    <row r="28" spans="1:29" s="107" customFormat="1" ht="15">
      <c r="A28" s="378"/>
      <c r="B28" s="564" t="s">
        <v>2273</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6"/>
      <c r="N28" s="2606"/>
      <c r="O28" s="2606"/>
      <c r="P28" s="3256"/>
      <c r="Q28" s="538" t="str">
        <f t="shared" si="11"/>
        <v>朝向</v>
      </c>
      <c r="R28" s="673" t="s">
        <v>17</v>
      </c>
      <c r="S28" s="674">
        <f>F28</f>
        <v>100</v>
      </c>
      <c r="T28" s="673" t="s">
        <v>17</v>
      </c>
      <c r="U28" s="674">
        <f>H28</f>
        <v>100</v>
      </c>
      <c r="V28" s="673" t="s">
        <v>17</v>
      </c>
      <c r="W28" s="674">
        <f>J28</f>
        <v>100</v>
      </c>
      <c r="X28" s="675"/>
      <c r="Y28" s="3249"/>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56"/>
      <c r="Q29" s="1392">
        <f t="shared" si="11"/>
        <v>111</v>
      </c>
      <c r="R29" s="676" t="s">
        <v>17</v>
      </c>
      <c r="S29" s="677">
        <f t="shared" ref="S29:S47" si="12">F29</f>
        <v>100</v>
      </c>
      <c r="T29" s="676" t="s">
        <v>17</v>
      </c>
      <c r="U29" s="677">
        <f t="shared" ref="U29:U47" si="13">H29</f>
        <v>100</v>
      </c>
      <c r="V29" s="676" t="s">
        <v>17</v>
      </c>
      <c r="W29" s="677">
        <f t="shared" ref="W29:W47" si="14">J29</f>
        <v>100</v>
      </c>
      <c r="X29" s="1394"/>
      <c r="Y29" s="3249"/>
      <c r="Z29" s="1393">
        <f t="shared" ref="Z29:Z47" si="15">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56"/>
      <c r="Q30" s="1392">
        <f t="shared" si="11"/>
        <v>111</v>
      </c>
      <c r="R30" s="676" t="s">
        <v>17</v>
      </c>
      <c r="S30" s="677">
        <f t="shared" si="12"/>
        <v>100</v>
      </c>
      <c r="T30" s="676" t="s">
        <v>17</v>
      </c>
      <c r="U30" s="677">
        <f t="shared" si="13"/>
        <v>100</v>
      </c>
      <c r="V30" s="676" t="s">
        <v>17</v>
      </c>
      <c r="W30" s="677">
        <f t="shared" si="14"/>
        <v>100</v>
      </c>
      <c r="X30" s="1394"/>
      <c r="Y30" s="3249"/>
      <c r="Z30" s="1393">
        <f t="shared" si="15"/>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56"/>
      <c r="Q31" s="1392">
        <f t="shared" si="11"/>
        <v>111</v>
      </c>
      <c r="R31" s="676" t="s">
        <v>17</v>
      </c>
      <c r="S31" s="677">
        <f t="shared" si="12"/>
        <v>100</v>
      </c>
      <c r="T31" s="676" t="s">
        <v>17</v>
      </c>
      <c r="U31" s="677">
        <f t="shared" si="13"/>
        <v>100</v>
      </c>
      <c r="V31" s="676" t="s">
        <v>17</v>
      </c>
      <c r="W31" s="677">
        <f t="shared" si="14"/>
        <v>100</v>
      </c>
      <c r="X31" s="1394"/>
      <c r="Y31" s="3249"/>
      <c r="Z31" s="1393">
        <f t="shared" si="15"/>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56"/>
      <c r="Q32" s="1392">
        <f t="shared" si="11"/>
        <v>111</v>
      </c>
      <c r="R32" s="676" t="s">
        <v>17</v>
      </c>
      <c r="S32" s="677">
        <f t="shared" si="12"/>
        <v>100</v>
      </c>
      <c r="T32" s="676" t="s">
        <v>17</v>
      </c>
      <c r="U32" s="677">
        <f t="shared" si="13"/>
        <v>100</v>
      </c>
      <c r="V32" s="676" t="s">
        <v>17</v>
      </c>
      <c r="W32" s="677">
        <f t="shared" si="14"/>
        <v>100</v>
      </c>
      <c r="X32" s="1394"/>
      <c r="Y32" s="3249"/>
      <c r="Z32" s="1393">
        <f t="shared" si="15"/>
        <v>111</v>
      </c>
      <c r="AA32" s="1393">
        <f t="shared" si="3"/>
        <v>1</v>
      </c>
      <c r="AB32" s="1393">
        <f t="shared" si="4"/>
        <v>1</v>
      </c>
      <c r="AC32" s="1942">
        <f t="shared" si="5"/>
        <v>1</v>
      </c>
    </row>
    <row r="33" spans="1:29" ht="15">
      <c r="A33" s="387" t="s">
        <v>2144</v>
      </c>
      <c r="B33" s="64" t="s">
        <v>2274</v>
      </c>
      <c r="C33" s="1894" t="s">
        <v>3281</v>
      </c>
      <c r="D33" s="413">
        <v>100</v>
      </c>
      <c r="E33" s="1894" t="s">
        <v>3279</v>
      </c>
      <c r="F33" s="408">
        <f>SUMIF(101:101,E33,102:102)-SUMIF(101:101,C33,102:102)+100</f>
        <v>90</v>
      </c>
      <c r="G33" s="1894" t="s">
        <v>3279</v>
      </c>
      <c r="H33" s="382">
        <f>SUMIF(101:101,G33,102:102)-SUMIF(101:101,C33,102:102)+100</f>
        <v>90</v>
      </c>
      <c r="I33" s="1894" t="s">
        <v>3279</v>
      </c>
      <c r="J33" s="413">
        <f>SUMIF(101:101,I33,102:102)-SUMIF(101:101,C33,102:102)+100</f>
        <v>90</v>
      </c>
      <c r="K33" s="2979">
        <v>10</v>
      </c>
      <c r="L33" s="2659"/>
      <c r="M33" s="2654"/>
      <c r="N33" s="2654"/>
      <c r="O33" s="2654"/>
      <c r="P33" s="3250" t="s">
        <v>2146</v>
      </c>
      <c r="Q33" s="1392" t="str">
        <f t="shared" si="11"/>
        <v>建筑类型</v>
      </c>
      <c r="R33" s="676" t="s">
        <v>17</v>
      </c>
      <c r="S33" s="677">
        <f t="shared" si="12"/>
        <v>90</v>
      </c>
      <c r="T33" s="676" t="s">
        <v>17</v>
      </c>
      <c r="U33" s="677">
        <f t="shared" si="13"/>
        <v>90</v>
      </c>
      <c r="V33" s="676" t="s">
        <v>17</v>
      </c>
      <c r="W33" s="677">
        <f t="shared" si="14"/>
        <v>90</v>
      </c>
      <c r="X33" s="1394"/>
      <c r="Y33" s="3253" t="s">
        <v>2146</v>
      </c>
      <c r="Z33" s="1393" t="str">
        <f t="shared" si="15"/>
        <v>建筑类型</v>
      </c>
      <c r="AA33" s="1393">
        <f t="shared" si="3"/>
        <v>1.1111111111111112</v>
      </c>
      <c r="AB33" s="1393">
        <f t="shared" si="4"/>
        <v>1.1111111111111112</v>
      </c>
      <c r="AC33" s="1942">
        <f t="shared" si="5"/>
        <v>1.1111111111111112</v>
      </c>
    </row>
    <row r="34" spans="1:29" s="416" customFormat="1" ht="15">
      <c r="A34" s="414"/>
      <c r="B34" s="370" t="s">
        <v>2147</v>
      </c>
      <c r="C34" s="415">
        <f>'比较法-办公'!D3</f>
        <v>11320.8</v>
      </c>
      <c r="D34" s="124">
        <v>100</v>
      </c>
      <c r="E34" s="377">
        <v>160</v>
      </c>
      <c r="F34" s="370">
        <f>LOOKUP(E34,104:104,105:105)-LOOKUP(C34,104:104,105:105)+100</f>
        <v>104</v>
      </c>
      <c r="G34" s="376">
        <v>345</v>
      </c>
      <c r="H34" s="124">
        <f>LOOKUP(G34,104:104,105:105)-LOOKUP(C34,104:104,105:105)+100</f>
        <v>104</v>
      </c>
      <c r="I34" s="376">
        <v>500</v>
      </c>
      <c r="J34" s="124">
        <f>LOOKUP(I34,104:104,105:105)-LOOKUP(C34,104:104,105:105)+100</f>
        <v>103</v>
      </c>
      <c r="K34" s="547"/>
      <c r="L34" s="2658"/>
      <c r="M34" s="2660"/>
      <c r="N34" s="2660"/>
      <c r="O34" s="2660"/>
      <c r="P34" s="3251"/>
      <c r="Q34" s="539" t="str">
        <f t="shared" si="11"/>
        <v>项目建筑规模</v>
      </c>
      <c r="R34" s="678" t="s">
        <v>17</v>
      </c>
      <c r="S34" s="679">
        <f t="shared" si="12"/>
        <v>104</v>
      </c>
      <c r="T34" s="678" t="s">
        <v>17</v>
      </c>
      <c r="U34" s="679">
        <f t="shared" si="13"/>
        <v>104</v>
      </c>
      <c r="V34" s="678" t="s">
        <v>17</v>
      </c>
      <c r="W34" s="679">
        <f t="shared" si="14"/>
        <v>103</v>
      </c>
      <c r="X34" s="680"/>
      <c r="Y34" s="3253"/>
      <c r="Z34" s="681" t="str">
        <f t="shared" si="15"/>
        <v>项目建筑规模</v>
      </c>
      <c r="AA34" s="1393">
        <f t="shared" si="3"/>
        <v>0.96153846153846156</v>
      </c>
      <c r="AB34" s="1393">
        <f t="shared" si="4"/>
        <v>0.96153846153846156</v>
      </c>
      <c r="AC34" s="1942">
        <f t="shared" si="5"/>
        <v>0.970873786407767</v>
      </c>
    </row>
    <row r="35" spans="1:29" ht="15">
      <c r="A35" s="417"/>
      <c r="B35" s="370" t="s">
        <v>2148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v>2</v>
      </c>
      <c r="L35" s="2659"/>
      <c r="M35" s="2654"/>
      <c r="N35" s="2654"/>
      <c r="O35" s="2654"/>
      <c r="P35" s="3251"/>
      <c r="Q35" s="1392" t="str">
        <f t="shared" si="11"/>
        <v>建筑结构</v>
      </c>
      <c r="R35" s="676" t="s">
        <v>17</v>
      </c>
      <c r="S35" s="677">
        <f t="shared" si="12"/>
        <v>100</v>
      </c>
      <c r="T35" s="676" t="s">
        <v>17</v>
      </c>
      <c r="U35" s="677">
        <f t="shared" si="13"/>
        <v>100</v>
      </c>
      <c r="V35" s="676" t="s">
        <v>17</v>
      </c>
      <c r="W35" s="677">
        <f t="shared" si="14"/>
        <v>100</v>
      </c>
      <c r="X35" s="1394"/>
      <c r="Y35" s="3253"/>
      <c r="Z35" s="1393" t="str">
        <f t="shared" si="15"/>
        <v>建筑结构</v>
      </c>
      <c r="AA35" s="1393">
        <f t="shared" si="3"/>
        <v>1</v>
      </c>
      <c r="AB35" s="1393">
        <f t="shared" si="4"/>
        <v>1</v>
      </c>
      <c r="AC35" s="1942">
        <f t="shared" si="5"/>
        <v>1</v>
      </c>
    </row>
    <row r="36" spans="1:29" ht="15">
      <c r="A36" s="417"/>
      <c r="B36" s="370" t="s">
        <v>2242</v>
      </c>
      <c r="C36" s="407" t="s">
        <v>3204</v>
      </c>
      <c r="D36" s="382">
        <v>100</v>
      </c>
      <c r="E36" s="407" t="s">
        <v>3204</v>
      </c>
      <c r="F36" s="408">
        <f>SUMIF(108:108,E36,109:109)-SUMIF(108:108,C36,109:109)+100</f>
        <v>100</v>
      </c>
      <c r="G36" s="407" t="s">
        <v>3204</v>
      </c>
      <c r="H36" s="382">
        <f>SUMIF(108:108,G36,109:109)-SUMIF(108:108,C36,109:109)+100</f>
        <v>100</v>
      </c>
      <c r="I36" s="407" t="s">
        <v>3204</v>
      </c>
      <c r="J36" s="382">
        <f>SUMIF(108:108,I36,109:109)-SUMIF(108:108,C36,109:109)+100</f>
        <v>100</v>
      </c>
      <c r="K36" s="546">
        <v>2</v>
      </c>
      <c r="L36" s="2659"/>
      <c r="M36" s="2654"/>
      <c r="N36" s="2654"/>
      <c r="O36" s="2654"/>
      <c r="P36" s="3251"/>
      <c r="Q36" s="1392" t="str">
        <f t="shared" si="11"/>
        <v>公共部分装修</v>
      </c>
      <c r="R36" s="676" t="s">
        <v>17</v>
      </c>
      <c r="S36" s="677">
        <f t="shared" si="12"/>
        <v>100</v>
      </c>
      <c r="T36" s="676" t="s">
        <v>17</v>
      </c>
      <c r="U36" s="677">
        <f t="shared" si="13"/>
        <v>100</v>
      </c>
      <c r="V36" s="676" t="s">
        <v>17</v>
      </c>
      <c r="W36" s="677">
        <f t="shared" si="14"/>
        <v>100</v>
      </c>
      <c r="X36" s="1394"/>
      <c r="Y36" s="3253"/>
      <c r="Z36" s="1393" t="str">
        <f t="shared" si="15"/>
        <v>公共部分装修</v>
      </c>
      <c r="AA36" s="1393">
        <f t="shared" si="3"/>
        <v>1</v>
      </c>
      <c r="AB36" s="1393">
        <f t="shared" si="4"/>
        <v>1</v>
      </c>
      <c r="AC36" s="1942">
        <f t="shared" si="5"/>
        <v>1</v>
      </c>
    </row>
    <row r="37" spans="1:29" ht="15">
      <c r="A37" s="417"/>
      <c r="B37" s="370" t="s">
        <v>2243</v>
      </c>
      <c r="C37" s="2982">
        <v>0.6</v>
      </c>
      <c r="D37" s="382">
        <v>100</v>
      </c>
      <c r="E37" s="419">
        <v>0.8</v>
      </c>
      <c r="F37" s="408">
        <f>LOOKUP(E37,111:111,112:112)-LOOKUP(C37,111:111,112:112)+100</f>
        <v>108</v>
      </c>
      <c r="G37" s="419">
        <v>0.8</v>
      </c>
      <c r="H37" s="408">
        <f>LOOKUP(G37,111:111,112:112)-LOOKUP(C37,111:111,112:112)+100</f>
        <v>108</v>
      </c>
      <c r="I37" s="419">
        <v>0.8</v>
      </c>
      <c r="J37" s="382">
        <f>LOOKUP(I37,111:111,112:112)-LOOKUP(C37,111:111,112:112)+100</f>
        <v>108</v>
      </c>
      <c r="K37" s="2979">
        <v>4</v>
      </c>
      <c r="L37" s="2659"/>
      <c r="M37" s="2654"/>
      <c r="N37" s="2654"/>
      <c r="O37" s="2654"/>
      <c r="P37" s="3251"/>
      <c r="Q37" s="1392" t="str">
        <f t="shared" si="11"/>
        <v>成新度</v>
      </c>
      <c r="R37" s="676" t="s">
        <v>17</v>
      </c>
      <c r="S37" s="677">
        <f t="shared" si="12"/>
        <v>108</v>
      </c>
      <c r="T37" s="676" t="s">
        <v>17</v>
      </c>
      <c r="U37" s="677">
        <f t="shared" si="13"/>
        <v>108</v>
      </c>
      <c r="V37" s="676" t="s">
        <v>17</v>
      </c>
      <c r="W37" s="677">
        <f t="shared" si="14"/>
        <v>108</v>
      </c>
      <c r="X37" s="1394"/>
      <c r="Y37" s="3253"/>
      <c r="Z37" s="1393" t="str">
        <f t="shared" si="15"/>
        <v>成新度</v>
      </c>
      <c r="AA37" s="1393">
        <f t="shared" si="3"/>
        <v>0.92592592592592593</v>
      </c>
      <c r="AB37" s="1393">
        <f t="shared" si="4"/>
        <v>0.92592592592592593</v>
      </c>
      <c r="AC37" s="1942">
        <f t="shared" si="5"/>
        <v>0.92592592592592593</v>
      </c>
    </row>
    <row r="38" spans="1:29" s="107" customFormat="1" ht="15">
      <c r="A38" s="418"/>
      <c r="B38" s="370" t="s">
        <v>2275</v>
      </c>
      <c r="C38" s="407" t="s">
        <v>3213</v>
      </c>
      <c r="D38" s="124">
        <v>100</v>
      </c>
      <c r="E38" s="407" t="s">
        <v>3213</v>
      </c>
      <c r="F38" s="408">
        <f>SUMIF(113:113,E38,114:114)-SUMIF(113:113,C38,114:114)+100</f>
        <v>100</v>
      </c>
      <c r="G38" s="407" t="s">
        <v>3213</v>
      </c>
      <c r="H38" s="382">
        <f>SUMIF(113:113,G38,114:114)-SUMIF(113:113,C38,114:114)+100</f>
        <v>100</v>
      </c>
      <c r="I38" s="407" t="s">
        <v>3213</v>
      </c>
      <c r="J38" s="382">
        <f>SUMIF(113:113,I38,114:114)-SUMIF(113:113,C38,114:114)+100</f>
        <v>100</v>
      </c>
      <c r="K38" s="546">
        <v>5</v>
      </c>
      <c r="L38" s="2655"/>
      <c r="M38" s="2606"/>
      <c r="N38" s="2606"/>
      <c r="O38" s="2606"/>
      <c r="P38" s="3251"/>
      <c r="Q38" s="538" t="str">
        <f t="shared" si="11"/>
        <v>写字楼等级</v>
      </c>
      <c r="R38" s="673" t="s">
        <v>17</v>
      </c>
      <c r="S38" s="674">
        <f t="shared" si="12"/>
        <v>100</v>
      </c>
      <c r="T38" s="673" t="s">
        <v>17</v>
      </c>
      <c r="U38" s="674">
        <f t="shared" si="13"/>
        <v>100</v>
      </c>
      <c r="V38" s="673" t="s">
        <v>17</v>
      </c>
      <c r="W38" s="674">
        <f t="shared" si="14"/>
        <v>100</v>
      </c>
      <c r="X38" s="675"/>
      <c r="Y38" s="3253"/>
      <c r="Z38" s="53" t="str">
        <f t="shared" si="15"/>
        <v>写字楼等级</v>
      </c>
      <c r="AA38" s="53">
        <f t="shared" si="3"/>
        <v>1</v>
      </c>
      <c r="AB38" s="53">
        <f t="shared" si="4"/>
        <v>1</v>
      </c>
      <c r="AC38" s="887">
        <f t="shared" si="5"/>
        <v>1</v>
      </c>
    </row>
    <row r="39" spans="1:29" ht="15">
      <c r="A39" s="417"/>
      <c r="B39" s="370" t="s">
        <v>2276</v>
      </c>
      <c r="C39" s="407" t="s">
        <v>3215</v>
      </c>
      <c r="D39" s="382">
        <v>100</v>
      </c>
      <c r="E39" s="407" t="s">
        <v>3215</v>
      </c>
      <c r="F39" s="408">
        <f>SUMIF(115:115,E39,116:116)-SUMIF(115:115,C39,116:116)+100</f>
        <v>100</v>
      </c>
      <c r="G39" s="407" t="s">
        <v>3215</v>
      </c>
      <c r="H39" s="382">
        <f>SUMIF(115:115,G39,116:116)-SUMIF(115:115,C39,116:116)+100</f>
        <v>100</v>
      </c>
      <c r="I39" s="407" t="s">
        <v>3215</v>
      </c>
      <c r="J39" s="382">
        <f>SUMIF(115:115,I39,116:116)-SUMIF(115:115,C39,116:116)+100</f>
        <v>100</v>
      </c>
      <c r="K39" s="546">
        <v>2</v>
      </c>
      <c r="L39" s="2659"/>
      <c r="M39" s="2654"/>
      <c r="N39" s="2654"/>
      <c r="O39" s="2654"/>
      <c r="P39" s="3251" t="s">
        <v>2146</v>
      </c>
      <c r="Q39" s="1392" t="str">
        <f t="shared" si="11"/>
        <v>物业管理</v>
      </c>
      <c r="R39" s="676" t="s">
        <v>17</v>
      </c>
      <c r="S39" s="677">
        <f t="shared" si="12"/>
        <v>100</v>
      </c>
      <c r="T39" s="676" t="s">
        <v>17</v>
      </c>
      <c r="U39" s="677">
        <f t="shared" si="13"/>
        <v>100</v>
      </c>
      <c r="V39" s="676" t="s">
        <v>17</v>
      </c>
      <c r="W39" s="677">
        <f t="shared" si="14"/>
        <v>100</v>
      </c>
      <c r="X39" s="1394"/>
      <c r="Y39" s="3253" t="s">
        <v>2146</v>
      </c>
      <c r="Z39" s="1393" t="str">
        <f t="shared" si="15"/>
        <v>物业管理</v>
      </c>
      <c r="AA39" s="1393">
        <f t="shared" si="3"/>
        <v>1</v>
      </c>
      <c r="AB39" s="1393">
        <f t="shared" si="4"/>
        <v>1</v>
      </c>
      <c r="AC39" s="1942">
        <f t="shared" si="5"/>
        <v>1</v>
      </c>
    </row>
    <row r="40" spans="1:29" ht="15">
      <c r="A40" s="417"/>
      <c r="B40" s="370" t="s">
        <v>2244</v>
      </c>
      <c r="C40" s="407" t="s">
        <v>3208</v>
      </c>
      <c r="D40" s="382">
        <v>100</v>
      </c>
      <c r="E40" s="407" t="s">
        <v>3209</v>
      </c>
      <c r="F40" s="408">
        <f>SUMIF(117:117,E40,118:118)-SUMIF(117:117,C40,118:118)+100</f>
        <v>99</v>
      </c>
      <c r="G40" s="407" t="s">
        <v>3209</v>
      </c>
      <c r="H40" s="382">
        <f>SUMIF(117:117,G40,118:118)-SUMIF(117:117,C40,118:118)+100</f>
        <v>99</v>
      </c>
      <c r="I40" s="407" t="s">
        <v>3209</v>
      </c>
      <c r="J40" s="382">
        <f>SUMIF(117:117,I40,118:118)-SUMIF(117:117,C40,118:118)+100</f>
        <v>99</v>
      </c>
      <c r="K40" s="546">
        <v>1</v>
      </c>
      <c r="L40" s="2659"/>
      <c r="M40" s="2654"/>
      <c r="N40" s="2654"/>
      <c r="O40" s="2654"/>
      <c r="P40" s="3251"/>
      <c r="Q40" s="1392" t="str">
        <f t="shared" si="11"/>
        <v>市政基础设施</v>
      </c>
      <c r="R40" s="676" t="s">
        <v>17</v>
      </c>
      <c r="S40" s="677">
        <f t="shared" si="12"/>
        <v>99</v>
      </c>
      <c r="T40" s="676" t="s">
        <v>17</v>
      </c>
      <c r="U40" s="677">
        <f t="shared" si="13"/>
        <v>99</v>
      </c>
      <c r="V40" s="676" t="s">
        <v>17</v>
      </c>
      <c r="W40" s="677">
        <f t="shared" si="14"/>
        <v>99</v>
      </c>
      <c r="X40" s="1394"/>
      <c r="Y40" s="3253"/>
      <c r="Z40" s="1393" t="str">
        <f t="shared" si="15"/>
        <v>市政基础设施</v>
      </c>
      <c r="AA40" s="1393">
        <f t="shared" si="3"/>
        <v>1.0101010101010102</v>
      </c>
      <c r="AB40" s="1393">
        <f t="shared" si="4"/>
        <v>1.0101010101010102</v>
      </c>
      <c r="AC40" s="1942">
        <f t="shared" si="5"/>
        <v>1.0101010101010102</v>
      </c>
    </row>
    <row r="41" spans="1:29" ht="15">
      <c r="A41" s="417"/>
      <c r="B41" s="370" t="s">
        <v>2246</v>
      </c>
      <c r="C41" s="550" t="s">
        <v>3206</v>
      </c>
      <c r="D41" s="382">
        <v>100</v>
      </c>
      <c r="E41" s="550" t="s">
        <v>3206</v>
      </c>
      <c r="F41" s="408">
        <f>SUMIF(119:119,E41,120:120)-SUMIF(119:119,C41,120:120)+100</f>
        <v>100</v>
      </c>
      <c r="G41" s="550" t="s">
        <v>3206</v>
      </c>
      <c r="H41" s="382">
        <f>SUMIF(119:119,G41,120:120)-SUMIF(119:119,C41,120:120)+100</f>
        <v>100</v>
      </c>
      <c r="I41" s="550" t="s">
        <v>3206</v>
      </c>
      <c r="J41" s="382">
        <f>SUMIF(119:119,I41,120:120)-SUMIF(119:119,C41,120:120)+100</f>
        <v>100</v>
      </c>
      <c r="K41" s="546">
        <v>6</v>
      </c>
      <c r="L41" s="2659"/>
      <c r="M41" s="2654"/>
      <c r="N41" s="2654"/>
      <c r="O41" s="2654"/>
      <c r="P41" s="3251"/>
      <c r="Q41" s="1392" t="str">
        <f t="shared" si="11"/>
        <v>层高</v>
      </c>
      <c r="R41" s="676" t="s">
        <v>17</v>
      </c>
      <c r="S41" s="677">
        <f t="shared" si="12"/>
        <v>100</v>
      </c>
      <c r="T41" s="676" t="s">
        <v>17</v>
      </c>
      <c r="U41" s="677">
        <f t="shared" si="13"/>
        <v>100</v>
      </c>
      <c r="V41" s="676" t="s">
        <v>17</v>
      </c>
      <c r="W41" s="677">
        <f t="shared" si="14"/>
        <v>100</v>
      </c>
      <c r="X41" s="1394"/>
      <c r="Y41" s="3253"/>
      <c r="Z41" s="1393" t="str">
        <f t="shared" si="15"/>
        <v>层高</v>
      </c>
      <c r="AA41" s="1393">
        <f t="shared" si="3"/>
        <v>1</v>
      </c>
      <c r="AB41" s="1393">
        <f t="shared" si="4"/>
        <v>1</v>
      </c>
      <c r="AC41" s="1942">
        <f t="shared" si="5"/>
        <v>1</v>
      </c>
    </row>
    <row r="42" spans="1:29" s="416" customFormat="1" ht="15">
      <c r="A42" s="414"/>
      <c r="B42" s="408" t="s">
        <v>2277</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51"/>
      <c r="Q42" s="539" t="str">
        <f t="shared" si="11"/>
        <v>单套建筑面积</v>
      </c>
      <c r="R42" s="678" t="s">
        <v>17</v>
      </c>
      <c r="S42" s="679">
        <f t="shared" si="12"/>
        <v>100</v>
      </c>
      <c r="T42" s="678" t="s">
        <v>17</v>
      </c>
      <c r="U42" s="679">
        <f t="shared" si="13"/>
        <v>100</v>
      </c>
      <c r="V42" s="678" t="s">
        <v>17</v>
      </c>
      <c r="W42" s="679">
        <f t="shared" si="14"/>
        <v>100</v>
      </c>
      <c r="X42" s="680"/>
      <c r="Y42" s="3253"/>
      <c r="Z42" s="681" t="str">
        <f t="shared" si="15"/>
        <v>单套建筑面积</v>
      </c>
      <c r="AA42" s="1393">
        <f t="shared" si="3"/>
        <v>1</v>
      </c>
      <c r="AB42" s="1393">
        <f t="shared" si="4"/>
        <v>1</v>
      </c>
      <c r="AC42" s="1942">
        <f t="shared" si="5"/>
        <v>1</v>
      </c>
    </row>
    <row r="43" spans="1:29" ht="15">
      <c r="A43" s="417"/>
      <c r="B43" s="370" t="s">
        <v>2249</v>
      </c>
      <c r="C43" s="407" t="s">
        <v>3288</v>
      </c>
      <c r="D43" s="382">
        <v>100</v>
      </c>
      <c r="E43" s="407" t="s">
        <v>3204</v>
      </c>
      <c r="F43" s="408">
        <f>SUMIF(123:123,E43,124:124)-SUMIF(123:123,C43,124:124)+100</f>
        <v>106</v>
      </c>
      <c r="G43" s="407" t="s">
        <v>3204</v>
      </c>
      <c r="H43" s="382">
        <f>SUMIF(123:123,G43,124:124)-SUMIF(123:123,C43,124:124)+100</f>
        <v>106</v>
      </c>
      <c r="I43" s="407" t="s">
        <v>3259</v>
      </c>
      <c r="J43" s="382">
        <f>SUMIF(123:123,I43,124:124)-SUMIF(123:123,C43,124:124)+100</f>
        <v>104</v>
      </c>
      <c r="K43" s="546">
        <v>2</v>
      </c>
      <c r="L43" s="2659"/>
      <c r="M43" s="2654"/>
      <c r="N43" s="2654"/>
      <c r="O43" s="2654"/>
      <c r="P43" s="3251"/>
      <c r="Q43" s="1392" t="str">
        <f t="shared" si="11"/>
        <v>内部装修</v>
      </c>
      <c r="R43" s="676" t="s">
        <v>17</v>
      </c>
      <c r="S43" s="677">
        <f t="shared" si="12"/>
        <v>106</v>
      </c>
      <c r="T43" s="676" t="s">
        <v>17</v>
      </c>
      <c r="U43" s="677">
        <f t="shared" si="13"/>
        <v>106</v>
      </c>
      <c r="V43" s="676" t="s">
        <v>17</v>
      </c>
      <c r="W43" s="677">
        <f t="shared" si="14"/>
        <v>104</v>
      </c>
      <c r="X43" s="1394"/>
      <c r="Y43" s="3253"/>
      <c r="Z43" s="1393" t="str">
        <f t="shared" si="15"/>
        <v>内部装修</v>
      </c>
      <c r="AA43" s="1393">
        <f t="shared" si="3"/>
        <v>0.94339622641509435</v>
      </c>
      <c r="AB43" s="1393">
        <f t="shared" si="4"/>
        <v>0.94339622641509435</v>
      </c>
      <c r="AC43" s="1942">
        <f t="shared" si="5"/>
        <v>0.96153846153846156</v>
      </c>
    </row>
    <row r="44" spans="1:29" ht="17.45" customHeight="1">
      <c r="A44" s="417"/>
      <c r="B44" s="370" t="s">
        <v>2157</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v>2</v>
      </c>
      <c r="L44" s="2659"/>
      <c r="M44" s="2654"/>
      <c r="N44" s="2654"/>
      <c r="O44" s="2654"/>
      <c r="P44" s="3251"/>
      <c r="Q44" s="1392" t="str">
        <f t="shared" si="11"/>
        <v>内部装修维护情况</v>
      </c>
      <c r="R44" s="676" t="s">
        <v>17</v>
      </c>
      <c r="S44" s="677">
        <f t="shared" si="12"/>
        <v>100</v>
      </c>
      <c r="T44" s="676" t="s">
        <v>17</v>
      </c>
      <c r="U44" s="677">
        <f t="shared" si="13"/>
        <v>100</v>
      </c>
      <c r="V44" s="676" t="s">
        <v>17</v>
      </c>
      <c r="W44" s="677">
        <f t="shared" si="14"/>
        <v>100</v>
      </c>
      <c r="X44" s="1394"/>
      <c r="Y44" s="3253"/>
      <c r="Z44" s="1393" t="str">
        <f t="shared" si="15"/>
        <v>内部装修维护情况</v>
      </c>
      <c r="AA44" s="1393">
        <f t="shared" si="3"/>
        <v>1</v>
      </c>
      <c r="AB44" s="1393">
        <f t="shared" si="4"/>
        <v>1</v>
      </c>
      <c r="AC44" s="1942">
        <f t="shared" si="5"/>
        <v>1</v>
      </c>
    </row>
    <row r="45" spans="1:29" s="107" customFormat="1" ht="15">
      <c r="A45" s="418"/>
      <c r="B45" s="2980" t="s">
        <v>3257</v>
      </c>
      <c r="C45" s="2981">
        <v>0.9</v>
      </c>
      <c r="D45" s="124">
        <v>100</v>
      </c>
      <c r="E45" s="2971">
        <v>1</v>
      </c>
      <c r="F45" s="370">
        <f>SUMIF(127:127,E45,128:128)-SUMIF(127:127,C45,128:128)+100</f>
        <v>105</v>
      </c>
      <c r="G45" s="2971">
        <v>1</v>
      </c>
      <c r="H45" s="124">
        <f>SUMIF(127:127,G45,128:128)-SUMIF(127:127,C45,128:128)+100</f>
        <v>105</v>
      </c>
      <c r="I45" s="2971">
        <v>1</v>
      </c>
      <c r="J45" s="124">
        <f>SUMIF(127:127,I45,128:128)-SUMIF(127:127,C45,128:128)+100</f>
        <v>105</v>
      </c>
      <c r="K45" s="547"/>
      <c r="L45" s="2655"/>
      <c r="M45" s="2606"/>
      <c r="N45" s="2606"/>
      <c r="O45" s="2606"/>
      <c r="P45" s="3251"/>
      <c r="Q45" s="538" t="str">
        <f t="shared" si="11"/>
        <v>出租比例</v>
      </c>
      <c r="R45" s="673" t="s">
        <v>17</v>
      </c>
      <c r="S45" s="674">
        <f t="shared" si="12"/>
        <v>105</v>
      </c>
      <c r="T45" s="673" t="s">
        <v>17</v>
      </c>
      <c r="U45" s="674">
        <f t="shared" si="13"/>
        <v>105</v>
      </c>
      <c r="V45" s="673" t="s">
        <v>17</v>
      </c>
      <c r="W45" s="674">
        <f t="shared" si="14"/>
        <v>105</v>
      </c>
      <c r="X45" s="675"/>
      <c r="Y45" s="3253"/>
      <c r="Z45" s="53" t="str">
        <f t="shared" si="15"/>
        <v>出租比例</v>
      </c>
      <c r="AA45" s="53">
        <f t="shared" si="3"/>
        <v>0.95238095238095233</v>
      </c>
      <c r="AB45" s="53">
        <f t="shared" si="4"/>
        <v>0.95238095238095233</v>
      </c>
      <c r="AC45" s="887">
        <f t="shared" si="5"/>
        <v>0.95238095238095233</v>
      </c>
    </row>
    <row r="46" spans="1:29" ht="15">
      <c r="A46" s="417"/>
      <c r="B46" s="2970"/>
      <c r="C46" s="2966"/>
      <c r="D46" s="382">
        <v>100</v>
      </c>
      <c r="E46" s="2973"/>
      <c r="F46" s="408">
        <f>SUMIF(129:129,E46,130:130)-SUMIF(129:129,C46,130:130)+100</f>
        <v>100</v>
      </c>
      <c r="G46" s="2973"/>
      <c r="H46" s="382">
        <f>SUMIF(129:129,G46,130:130)-SUMIF(129:129,C46,130:130)+100</f>
        <v>100</v>
      </c>
      <c r="I46" s="2973"/>
      <c r="J46" s="382">
        <f>SUMIF(129:129,I46,130:130)-SUMIF(129:129,C46,130:130)+100</f>
        <v>100</v>
      </c>
      <c r="K46" s="547"/>
      <c r="L46" s="2659"/>
      <c r="M46" s="2654"/>
      <c r="N46" s="2654"/>
      <c r="O46" s="2654"/>
      <c r="P46" s="3251"/>
      <c r="Q46" s="1392">
        <f t="shared" si="11"/>
        <v>0</v>
      </c>
      <c r="R46" s="676" t="s">
        <v>17</v>
      </c>
      <c r="S46" s="677">
        <f t="shared" si="12"/>
        <v>100</v>
      </c>
      <c r="T46" s="676" t="s">
        <v>17</v>
      </c>
      <c r="U46" s="677">
        <f t="shared" si="13"/>
        <v>100</v>
      </c>
      <c r="V46" s="676" t="s">
        <v>17</v>
      </c>
      <c r="W46" s="677">
        <f t="shared" si="14"/>
        <v>100</v>
      </c>
      <c r="X46" s="1394"/>
      <c r="Y46" s="3253"/>
      <c r="Z46" s="1393">
        <f t="shared" si="15"/>
        <v>0</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52"/>
      <c r="Q47" s="1392">
        <f t="shared" si="11"/>
        <v>111</v>
      </c>
      <c r="R47" s="676" t="s">
        <v>17</v>
      </c>
      <c r="S47" s="677">
        <f t="shared" si="12"/>
        <v>100</v>
      </c>
      <c r="T47" s="676" t="s">
        <v>17</v>
      </c>
      <c r="U47" s="677">
        <f t="shared" si="13"/>
        <v>100</v>
      </c>
      <c r="V47" s="676" t="s">
        <v>17</v>
      </c>
      <c r="W47" s="677">
        <f t="shared" si="14"/>
        <v>100</v>
      </c>
      <c r="X47" s="1394"/>
      <c r="Y47" s="3254"/>
      <c r="Z47" s="1393">
        <f t="shared" si="15"/>
        <v>111</v>
      </c>
      <c r="AA47" s="1393">
        <f t="shared" si="3"/>
        <v>1</v>
      </c>
      <c r="AB47" s="1393">
        <f t="shared" si="4"/>
        <v>1</v>
      </c>
      <c r="AC47" s="1942">
        <f t="shared" si="5"/>
        <v>1</v>
      </c>
    </row>
    <row r="48" spans="1:29" ht="15">
      <c r="A48" s="424" t="s">
        <v>2158</v>
      </c>
      <c r="B48" s="425"/>
      <c r="C48" s="1191" t="s">
        <v>1</v>
      </c>
      <c r="D48" s="426"/>
      <c r="E48" s="427">
        <v>5.58</v>
      </c>
      <c r="F48" s="428"/>
      <c r="G48" s="429">
        <v>5.93</v>
      </c>
      <c r="H48" s="430"/>
      <c r="I48" s="427">
        <v>5.5</v>
      </c>
      <c r="J48" s="430"/>
      <c r="K48" s="683"/>
      <c r="L48" s="2661"/>
      <c r="M48" s="2654"/>
      <c r="N48" s="2654"/>
      <c r="O48" s="2654"/>
      <c r="P48" s="3229" t="str">
        <f>A48</f>
        <v>成交单价（元/平方米）</v>
      </c>
      <c r="Q48" s="3247"/>
      <c r="R48" s="3242">
        <f>E48</f>
        <v>5.58</v>
      </c>
      <c r="S48" s="3242"/>
      <c r="T48" s="3242">
        <f>G48</f>
        <v>5.93</v>
      </c>
      <c r="U48" s="3242"/>
      <c r="V48" s="3242">
        <f>I48</f>
        <v>5.5</v>
      </c>
      <c r="W48" s="3242"/>
      <c r="X48" s="393"/>
      <c r="Y48" s="682"/>
      <c r="Z48" s="393"/>
      <c r="AA48" s="393"/>
      <c r="AB48" s="393"/>
      <c r="AC48" s="563"/>
    </row>
    <row r="49" spans="1:29" ht="15.75" thickBot="1">
      <c r="A49" s="431" t="s">
        <v>2250</v>
      </c>
      <c r="B49" s="432"/>
      <c r="C49" s="1192">
        <f>R50</f>
        <v>5.0999999999999996</v>
      </c>
      <c r="D49" s="2301" t="s">
        <v>2640</v>
      </c>
      <c r="E49" s="1193">
        <f>R49</f>
        <v>5</v>
      </c>
      <c r="F49" s="2302"/>
      <c r="G49" s="1192">
        <f>T49</f>
        <v>5.2</v>
      </c>
      <c r="H49" s="2302"/>
      <c r="I49" s="1193">
        <f>V49</f>
        <v>5</v>
      </c>
      <c r="J49" s="2302"/>
      <c r="K49" s="2304">
        <f>F49+H49+J49</f>
        <v>0</v>
      </c>
      <c r="L49" s="2974" t="s">
        <v>3283</v>
      </c>
      <c r="M49" s="2654">
        <f>[2]基准地价修正!$V$35</f>
        <v>1.95</v>
      </c>
      <c r="N49" s="2976">
        <f>806*10000/365/D3</f>
        <v>1.9505858049627165</v>
      </c>
      <c r="O49" s="2654"/>
      <c r="P49" s="3229" t="str">
        <f>A49</f>
        <v>比较价值（元/平方米）</v>
      </c>
      <c r="Q49" s="3247"/>
      <c r="R49" s="3242">
        <f>IF(F1="售价",ROUND(PRODUCT(R48,AA7:AA47),0),ROUND(PRODUCT(R48,AA7:AA47),1))</f>
        <v>5</v>
      </c>
      <c r="S49" s="3242"/>
      <c r="T49" s="3242">
        <f>IF(F1="售价",ROUND(PRODUCT(T48,AB7:AB47),0),ROUND(PRODUCT(T48,AB7:AB47),1))</f>
        <v>5.2</v>
      </c>
      <c r="U49" s="3242"/>
      <c r="V49" s="3242">
        <f>IF(F1="售价",ROUND(PRODUCT(V48,AC7:AC47),0),ROUND(PRODUCT(V48,AC7:AC47),1))</f>
        <v>5</v>
      </c>
      <c r="W49" s="3242"/>
      <c r="X49" s="393"/>
      <c r="Y49" s="393"/>
      <c r="Z49" s="393"/>
      <c r="AA49" s="393"/>
      <c r="AB49" s="393"/>
      <c r="AC49" s="563"/>
    </row>
    <row r="50" spans="1:29" ht="15.75" thickBot="1">
      <c r="A50" s="435" t="s">
        <v>2251</v>
      </c>
      <c r="B50" s="436"/>
      <c r="C50" s="357">
        <f>R50</f>
        <v>5.0999999999999996</v>
      </c>
      <c r="D50" s="357"/>
      <c r="E50" s="357"/>
      <c r="F50" s="357"/>
      <c r="G50" s="357"/>
      <c r="H50" s="357"/>
      <c r="I50" s="357"/>
      <c r="J50" s="437"/>
      <c r="K50" s="684"/>
      <c r="L50" s="2654" t="s">
        <v>3217</v>
      </c>
      <c r="M50" s="2975">
        <f>ROUND(M49*1.1,1)</f>
        <v>2.1</v>
      </c>
      <c r="N50" s="2654"/>
      <c r="O50" s="2975"/>
      <c r="P50" s="3272" t="str">
        <f>A50</f>
        <v>估价对象XX用房的比较价值（楼面单价，元/平方米）</v>
      </c>
      <c r="Q50" s="3273"/>
      <c r="R50" s="3274">
        <f>IF(F1="售价",ROUND(IF(D49="简单平均",AVERAGE(R49:V49),R49*F49+T49*H49+V49*J49),0),ROUND(IF(D49="简单平均",AVERAGE(R49:V49),R49*F49+T49*H49+V49*J49),1))</f>
        <v>5.0999999999999996</v>
      </c>
      <c r="S50" s="3274"/>
      <c r="T50" s="3274"/>
      <c r="U50" s="3274"/>
      <c r="V50" s="3274"/>
      <c r="W50" s="3274"/>
      <c r="X50" s="1928"/>
      <c r="Y50" s="1928"/>
      <c r="Z50" s="1928"/>
      <c r="AA50" s="1928"/>
      <c r="AB50" s="1928"/>
      <c r="AC50" s="1929"/>
    </row>
    <row r="51" spans="1:29">
      <c r="A51" s="2654"/>
      <c r="B51" s="2654" t="s">
        <v>3217</v>
      </c>
      <c r="C51" s="2654">
        <f>ROUND((E51)*1.1,1)</f>
        <v>7.8</v>
      </c>
      <c r="D51" s="2654"/>
      <c r="E51" s="2654">
        <f>C50+M49</f>
        <v>7.05</v>
      </c>
      <c r="F51" s="2654"/>
      <c r="G51" s="2665"/>
      <c r="H51" s="2654"/>
      <c r="I51" s="2654"/>
      <c r="J51" s="2654"/>
      <c r="K51" s="2666"/>
      <c r="L51" s="2654" t="s">
        <v>3218</v>
      </c>
      <c r="M51" s="2975">
        <f>ROUND(M49*0.9,1)</f>
        <v>1.8</v>
      </c>
      <c r="N51" s="2654"/>
      <c r="O51" s="2975"/>
      <c r="P51" s="2691"/>
      <c r="Q51" s="2654"/>
      <c r="R51" s="2654"/>
      <c r="S51" s="2654"/>
      <c r="T51" s="2654"/>
      <c r="U51" s="2654"/>
      <c r="V51" s="2654"/>
      <c r="W51" s="2654"/>
      <c r="X51" s="2654"/>
      <c r="Y51" s="2654"/>
      <c r="Z51" s="2654"/>
      <c r="AA51" s="2654"/>
      <c r="AB51" s="2654"/>
      <c r="AC51" s="2654"/>
    </row>
    <row r="52" spans="1:29">
      <c r="A52" s="2654"/>
      <c r="B52" s="2654" t="s">
        <v>3218</v>
      </c>
      <c r="C52" s="2654">
        <f>ROUND((E51)*0.9,1)</f>
        <v>6.3</v>
      </c>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2252</v>
      </c>
      <c r="D53" s="441"/>
      <c r="E53" s="442">
        <f>IF(E48&lt;E49,E49/E48-1,E48/E49-1)</f>
        <v>0.1160000000000001</v>
      </c>
      <c r="F53" s="443" t="str">
        <f>IF(OR(E53&gt;=0.3,E53&lt;=-0.3),"超过30%","")</f>
        <v/>
      </c>
      <c r="G53" s="442">
        <f>IF(G48&lt;G49,G49/G48-1,G48/G49-1)</f>
        <v>0.14038461538461533</v>
      </c>
      <c r="H53" s="443" t="str">
        <f>IF(OR(G53&gt;=0.3,G53&lt;=-0.3),"超过30%","")</f>
        <v/>
      </c>
      <c r="I53" s="442">
        <f>IF(I48&lt;I49,I49/I48-1,I48/I49-1)</f>
        <v>0.10000000000000009</v>
      </c>
      <c r="J53" s="443" t="str">
        <f>IF(OR(I53&gt;=0.3,I53&lt;=-0.3),"超过30%","")</f>
        <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2253</v>
      </c>
      <c r="D54" s="444"/>
      <c r="E54" s="442">
        <f>IF(E49&lt;G49,G49/E49-1,E49/G49-1)</f>
        <v>4.0000000000000036E-2</v>
      </c>
      <c r="F54" s="443" t="str">
        <f>IF(OR(E54&gt;=0.2,E54&lt;=-0.2),"超过20%","")</f>
        <v/>
      </c>
      <c r="G54" s="442">
        <f>IF(G49&lt;I49,I49/G49-1,G49/I49-1)</f>
        <v>4.0000000000000036E-2</v>
      </c>
      <c r="H54" s="443" t="str">
        <f>IF(OR(G54&gt;=0.2,G54&lt;=-0.2),"超过20%","")</f>
        <v/>
      </c>
      <c r="I54" s="442">
        <f>IF(I49&lt;E49,E49/I49-1,I49/E49-1)</f>
        <v>0</v>
      </c>
      <c r="J54" s="443" t="str">
        <f>IF(OR(I54&gt;=0.2,I54&lt;=-0.2),"超过20%","")</f>
        <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2254</v>
      </c>
      <c r="D55" s="444"/>
      <c r="E55" s="442">
        <f>IF(E48&lt;G48,G48/E48-1,E48/G48-1)</f>
        <v>6.2724014336917433E-2</v>
      </c>
      <c r="F55" s="443" t="str">
        <f>IF(OR(E55&gt;=0.3,E55&lt;=-0.3),"超过30%","")</f>
        <v/>
      </c>
      <c r="G55" s="442">
        <f>IF(G48&lt;I48,I48/G48-1,G48/I48-1)</f>
        <v>7.818181818181813E-2</v>
      </c>
      <c r="H55" s="443" t="str">
        <f>IF(OR(G55&gt;=0.3,G55&lt;=-0.3),"超过30%","")</f>
        <v/>
      </c>
      <c r="I55" s="442">
        <f>IF(I48&lt;E48,E48/I48-1,I48/E48-1)</f>
        <v>1.4545454545454639E-2</v>
      </c>
      <c r="J55" s="443" t="str">
        <f>IF(OR(I55&gt;=0.3,I55&lt;=-0.3),"超过30%","")</f>
        <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75" thickBot="1">
      <c r="A58" s="667" t="s">
        <v>2255</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ht="15">
      <c r="A59" s="448" t="s">
        <v>2129</v>
      </c>
      <c r="B59" s="449"/>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2694"/>
      <c r="Q59" s="2677"/>
      <c r="R59" s="2677"/>
      <c r="S59" s="2677"/>
      <c r="T59" s="2677"/>
      <c r="U59" s="2677"/>
      <c r="V59" s="2677"/>
      <c r="W59" s="2677"/>
      <c r="X59" s="2677"/>
      <c r="Y59" s="2677"/>
      <c r="Z59" s="2677"/>
      <c r="AA59" s="2677"/>
      <c r="AB59" s="2677"/>
      <c r="AC59" s="2677"/>
    </row>
    <row r="60" spans="1:29" s="107" customFormat="1" ht="15">
      <c r="A60" s="451"/>
      <c r="B60" s="452"/>
      <c r="C60" s="1212">
        <v>100</v>
      </c>
      <c r="D60" s="454">
        <v>100</v>
      </c>
      <c r="E60" s="454">
        <v>100</v>
      </c>
      <c r="F60" s="454"/>
      <c r="G60" s="454"/>
      <c r="H60" s="454"/>
      <c r="I60" s="454"/>
      <c r="J60" s="454"/>
      <c r="K60" s="454"/>
      <c r="L60" s="454"/>
      <c r="M60" s="455"/>
      <c r="N60" s="454"/>
      <c r="O60" s="455"/>
      <c r="P60" s="2695"/>
      <c r="Q60" s="2606"/>
      <c r="R60" s="2606"/>
      <c r="S60" s="2606"/>
      <c r="T60" s="2606"/>
      <c r="U60" s="2606"/>
      <c r="V60" s="2606"/>
      <c r="W60" s="2606"/>
      <c r="X60" s="2606"/>
      <c r="Y60" s="2606"/>
      <c r="Z60" s="2606"/>
      <c r="AA60" s="2606"/>
      <c r="AB60" s="2606"/>
      <c r="AC60" s="2606"/>
    </row>
    <row r="61" spans="1:29" s="107" customFormat="1" ht="15.75" thickBot="1">
      <c r="A61" s="457" t="s">
        <v>2166</v>
      </c>
      <c r="B61" s="458"/>
      <c r="C61" s="459"/>
      <c r="D61" s="460"/>
      <c r="E61" s="460"/>
      <c r="F61" s="460"/>
      <c r="G61" s="460"/>
      <c r="H61" s="460"/>
      <c r="I61" s="460"/>
      <c r="J61" s="460"/>
      <c r="K61" s="460"/>
      <c r="L61" s="460"/>
      <c r="M61" s="461"/>
      <c r="N61" s="460"/>
      <c r="O61" s="461"/>
      <c r="P61" s="2695"/>
      <c r="Q61" s="2675"/>
      <c r="R61" s="2606"/>
      <c r="S61" s="2606"/>
      <c r="T61" s="2606"/>
      <c r="U61" s="2606"/>
      <c r="V61" s="2606"/>
      <c r="W61" s="2606"/>
      <c r="X61" s="2606"/>
      <c r="Y61" s="2606"/>
      <c r="Z61" s="2606"/>
      <c r="AA61" s="2606"/>
      <c r="AB61" s="2606"/>
      <c r="AC61" s="2606"/>
    </row>
    <row r="62" spans="1:29" s="107" customFormat="1" ht="15">
      <c r="A62" s="463" t="s">
        <v>2131</v>
      </c>
      <c r="B62" s="452"/>
      <c r="C62" s="464" t="s">
        <v>2233</v>
      </c>
      <c r="D62" s="34"/>
      <c r="E62" s="34"/>
      <c r="F62" s="34"/>
      <c r="G62" s="34"/>
      <c r="H62" s="34"/>
      <c r="I62" s="34"/>
      <c r="J62" s="34"/>
      <c r="K62" s="34"/>
      <c r="L62" s="465"/>
      <c r="M62" s="466"/>
      <c r="N62" s="2687"/>
      <c r="O62" s="2687"/>
      <c r="P62" s="2696"/>
      <c r="Q62" s="2675"/>
      <c r="R62" s="2606"/>
      <c r="S62" s="2606"/>
      <c r="T62" s="2606"/>
      <c r="U62" s="2606"/>
      <c r="V62" s="2606"/>
      <c r="W62" s="2606"/>
      <c r="X62" s="2606"/>
      <c r="Y62" s="2606"/>
      <c r="Z62" s="2606"/>
      <c r="AA62" s="2606"/>
      <c r="AB62" s="2606"/>
      <c r="AC62" s="2606"/>
    </row>
    <row r="63" spans="1:29" s="107" customFormat="1" ht="15.75" thickBot="1">
      <c r="A63" s="463"/>
      <c r="B63" s="452"/>
      <c r="C63" s="453">
        <v>100</v>
      </c>
      <c r="D63" s="454"/>
      <c r="E63" s="454"/>
      <c r="F63" s="454"/>
      <c r="G63" s="454"/>
      <c r="H63" s="454"/>
      <c r="I63" s="454"/>
      <c r="J63" s="454"/>
      <c r="K63" s="454"/>
      <c r="L63" s="454"/>
      <c r="M63" s="456"/>
      <c r="N63" s="2687"/>
      <c r="O63" s="2687"/>
      <c r="P63" s="2695"/>
      <c r="Q63" s="2675"/>
      <c r="R63" s="2606"/>
      <c r="S63" s="2606"/>
      <c r="T63" s="2606"/>
      <c r="U63" s="2606"/>
      <c r="V63" s="2606"/>
      <c r="W63" s="2606"/>
      <c r="X63" s="2606"/>
      <c r="Y63" s="2606"/>
      <c r="Z63" s="2606"/>
      <c r="AA63" s="2606"/>
      <c r="AB63" s="2606"/>
      <c r="AC63" s="2606"/>
    </row>
    <row r="64" spans="1:29">
      <c r="A64" s="387" t="s">
        <v>2169</v>
      </c>
      <c r="B64" s="468" t="s">
        <v>2135</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5.7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15.75" thickTop="1">
      <c r="A66" s="375"/>
      <c r="B66" s="477" t="s">
        <v>2138</v>
      </c>
      <c r="C66" s="478" t="s">
        <v>2170</v>
      </c>
      <c r="D66" s="478" t="s">
        <v>2171</v>
      </c>
      <c r="E66" s="478" t="s">
        <v>2172</v>
      </c>
      <c r="F66" s="478" t="s">
        <v>2173</v>
      </c>
      <c r="G66" s="478" t="s">
        <v>2174</v>
      </c>
      <c r="H66" s="478" t="s">
        <v>2175</v>
      </c>
      <c r="I66" s="478" t="s">
        <v>2176</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5.75" thickBot="1">
      <c r="A67" s="375"/>
      <c r="B67" s="482"/>
      <c r="C67" s="483" t="s">
        <v>24</v>
      </c>
      <c r="D67" s="483" t="s">
        <v>25</v>
      </c>
      <c r="E67" s="483">
        <v>100</v>
      </c>
      <c r="F67" s="483">
        <f>E67-$K10</f>
        <v>98</v>
      </c>
      <c r="G67" s="483">
        <f>F67-$K10</f>
        <v>96</v>
      </c>
      <c r="H67" s="483">
        <f>G67-$K10</f>
        <v>94</v>
      </c>
      <c r="I67" s="483">
        <f>H67-$K10</f>
        <v>92</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5.75" thickTop="1">
      <c r="A68" s="375"/>
      <c r="B68" s="485" t="s">
        <v>2139</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ht="15">
      <c r="A69" s="375"/>
      <c r="B69" s="487"/>
      <c r="C69" s="488">
        <v>0</v>
      </c>
      <c r="D69" s="488">
        <v>1</v>
      </c>
      <c r="E69" s="488">
        <v>2</v>
      </c>
      <c r="F69" s="488">
        <v>3</v>
      </c>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5.75" thickBot="1">
      <c r="A70" s="375"/>
      <c r="B70" s="474"/>
      <c r="C70" s="483">
        <v>100</v>
      </c>
      <c r="D70" s="483">
        <f t="shared" ref="D70:M70" si="18">C70-$K11</f>
        <v>97</v>
      </c>
      <c r="E70" s="483">
        <f t="shared" si="18"/>
        <v>94</v>
      </c>
      <c r="F70" s="483">
        <f t="shared" si="18"/>
        <v>91</v>
      </c>
      <c r="G70" s="483">
        <f t="shared" si="18"/>
        <v>88</v>
      </c>
      <c r="H70" s="483">
        <f t="shared" si="18"/>
        <v>85</v>
      </c>
      <c r="I70" s="483">
        <f t="shared" si="18"/>
        <v>82</v>
      </c>
      <c r="J70" s="483">
        <f t="shared" si="18"/>
        <v>79</v>
      </c>
      <c r="K70" s="483">
        <f t="shared" si="18"/>
        <v>76</v>
      </c>
      <c r="L70" s="483">
        <f t="shared" si="18"/>
        <v>73</v>
      </c>
      <c r="M70" s="484">
        <f t="shared" si="18"/>
        <v>70</v>
      </c>
      <c r="N70" s="2689"/>
      <c r="O70" s="2689"/>
      <c r="P70" s="2697"/>
      <c r="Q70" s="2675"/>
      <c r="R70" s="2654"/>
      <c r="S70" s="2654"/>
      <c r="T70" s="2654"/>
      <c r="U70" s="2654"/>
      <c r="V70" s="2654"/>
      <c r="W70" s="2654"/>
      <c r="X70" s="2654"/>
      <c r="Y70" s="2654"/>
      <c r="Z70" s="2654"/>
      <c r="AA70" s="2654"/>
      <c r="AB70" s="2654"/>
      <c r="AC70" s="2654"/>
    </row>
    <row r="71" spans="1:29" s="416" customFormat="1" ht="15.7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5.7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5.7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5.7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5.7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5.7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2140</v>
      </c>
      <c r="B77" s="468" t="s">
        <v>2278</v>
      </c>
      <c r="C77" s="512" t="s">
        <v>2178</v>
      </c>
      <c r="D77" s="512" t="s">
        <v>2179</v>
      </c>
      <c r="E77" s="512" t="s">
        <v>2180</v>
      </c>
      <c r="F77" s="512" t="s">
        <v>2181</v>
      </c>
      <c r="G77" s="512" t="s">
        <v>2182</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5.75" thickBot="1">
      <c r="A78" s="375"/>
      <c r="B78" s="482"/>
      <c r="C78" s="483">
        <v>100</v>
      </c>
      <c r="D78" s="483">
        <f>C78-$K15</f>
        <v>99</v>
      </c>
      <c r="E78" s="483">
        <f>D78-$K15</f>
        <v>98</v>
      </c>
      <c r="F78" s="483">
        <f>E78-$K15</f>
        <v>97</v>
      </c>
      <c r="G78" s="483">
        <f>F78-$K15</f>
        <v>96</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5.75" thickTop="1">
      <c r="A79" s="375"/>
      <c r="B79" s="477" t="s">
        <v>2183</v>
      </c>
      <c r="C79" s="517" t="s">
        <v>2178</v>
      </c>
      <c r="D79" s="517" t="s">
        <v>2179</v>
      </c>
      <c r="E79" s="517" t="s">
        <v>2180</v>
      </c>
      <c r="F79" s="517" t="s">
        <v>2181</v>
      </c>
      <c r="G79" s="517" t="s">
        <v>2182</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C80-$K17</f>
        <v>98</v>
      </c>
      <c r="E80" s="483">
        <f>D80-$K17</f>
        <v>96</v>
      </c>
      <c r="F80" s="483">
        <f>E80-$K17</f>
        <v>94</v>
      </c>
      <c r="G80" s="483">
        <f>F80-$K17</f>
        <v>92</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5.75" thickTop="1">
      <c r="A81" s="375"/>
      <c r="B81" s="477" t="s">
        <v>2184</v>
      </c>
      <c r="C81" s="517" t="s">
        <v>2178</v>
      </c>
      <c r="D81" s="517" t="s">
        <v>2179</v>
      </c>
      <c r="E81" s="517" t="s">
        <v>2180</v>
      </c>
      <c r="F81" s="517" t="s">
        <v>2181</v>
      </c>
      <c r="G81" s="517" t="s">
        <v>2182</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5.75" thickBot="1">
      <c r="A82" s="375"/>
      <c r="B82" s="482"/>
      <c r="C82" s="483">
        <v>100</v>
      </c>
      <c r="D82" s="483">
        <f>C82-$K19</f>
        <v>98</v>
      </c>
      <c r="E82" s="483">
        <f>D82-$K19</f>
        <v>96</v>
      </c>
      <c r="F82" s="483">
        <f>E82-$K19</f>
        <v>94</v>
      </c>
      <c r="G82" s="483">
        <f>F82-$K19</f>
        <v>92</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5.75" thickTop="1">
      <c r="A83" s="375"/>
      <c r="B83" s="485" t="s">
        <v>2270</v>
      </c>
      <c r="C83" s="589" t="s">
        <v>2256</v>
      </c>
      <c r="D83" s="589" t="s">
        <v>2257</v>
      </c>
      <c r="E83" s="589" t="s">
        <v>2258</v>
      </c>
      <c r="F83" s="589" t="s">
        <v>2259</v>
      </c>
      <c r="G83" s="589" t="s">
        <v>2260</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5.75" thickBot="1">
      <c r="A84" s="375"/>
      <c r="B84" s="485"/>
      <c r="C84" s="483">
        <v>100</v>
      </c>
      <c r="D84" s="483">
        <f>C84-$K21</f>
        <v>99</v>
      </c>
      <c r="E84" s="483">
        <f>D84-$K21</f>
        <v>98</v>
      </c>
      <c r="F84" s="483">
        <f>E84-$K21</f>
        <v>97</v>
      </c>
      <c r="G84" s="483">
        <f>F84-$K21</f>
        <v>96</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5.75" thickTop="1">
      <c r="A85" s="375"/>
      <c r="B85" s="477" t="s">
        <v>2279</v>
      </c>
      <c r="C85" s="517" t="s">
        <v>2178</v>
      </c>
      <c r="D85" s="517" t="s">
        <v>2179</v>
      </c>
      <c r="E85" s="517" t="s">
        <v>2180</v>
      </c>
      <c r="F85" s="517" t="s">
        <v>2181</v>
      </c>
      <c r="G85" s="517" t="s">
        <v>2182</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5.75" thickBot="1">
      <c r="A86" s="375"/>
      <c r="B86" s="482"/>
      <c r="C86" s="483">
        <v>100</v>
      </c>
      <c r="D86" s="483">
        <f>C86-$K23</f>
        <v>98</v>
      </c>
      <c r="E86" s="483">
        <f>D86-$K23</f>
        <v>96</v>
      </c>
      <c r="F86" s="483">
        <f>E86-$K23</f>
        <v>94</v>
      </c>
      <c r="G86" s="483">
        <f>F86-$K23</f>
        <v>92</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7.75" thickTop="1">
      <c r="A87" s="378"/>
      <c r="B87" s="477" t="s">
        <v>2280</v>
      </c>
      <c r="C87" s="2965" t="s">
        <v>3194</v>
      </c>
      <c r="D87" s="2965" t="s">
        <v>3195</v>
      </c>
      <c r="E87" s="2965" t="s">
        <v>3197</v>
      </c>
      <c r="F87" s="2965" t="s">
        <v>3198</v>
      </c>
      <c r="G87" s="2965" t="s">
        <v>3200</v>
      </c>
      <c r="H87" s="493"/>
      <c r="I87" s="493"/>
      <c r="J87" s="493"/>
      <c r="K87" s="493"/>
      <c r="L87" s="518"/>
      <c r="M87" s="519"/>
      <c r="N87" s="2687"/>
      <c r="O87" s="2687"/>
      <c r="P87" s="2697"/>
      <c r="Q87" s="2675"/>
      <c r="R87" s="2606"/>
      <c r="S87" s="2606"/>
      <c r="T87" s="2606"/>
      <c r="U87" s="2606"/>
      <c r="V87" s="2606"/>
      <c r="W87" s="2606"/>
      <c r="X87" s="2606"/>
      <c r="Y87" s="2606"/>
      <c r="Z87" s="2606"/>
      <c r="AA87" s="2606"/>
      <c r="AB87" s="2606"/>
      <c r="AC87" s="2606"/>
    </row>
    <row r="88" spans="1:29" s="107" customFormat="1" ht="15.7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9"/>
      <c r="O88" s="2689"/>
      <c r="P88" s="2697"/>
      <c r="Q88" s="2675"/>
      <c r="R88" s="2606"/>
      <c r="S88" s="2606"/>
      <c r="T88" s="2606"/>
      <c r="U88" s="2606"/>
      <c r="V88" s="2606"/>
      <c r="W88" s="2606"/>
      <c r="X88" s="2606"/>
      <c r="Y88" s="2606"/>
      <c r="Z88" s="2606"/>
      <c r="AA88" s="2606"/>
      <c r="AB88" s="2606"/>
      <c r="AC88" s="2606"/>
    </row>
    <row r="89" spans="1:29" s="107" customFormat="1" ht="15.75" thickTop="1">
      <c r="A89" s="378"/>
      <c r="B89" s="477" t="str">
        <f>B27</f>
        <v>楼层</v>
      </c>
      <c r="C89" s="2965" t="s">
        <v>3201</v>
      </c>
      <c r="D89" s="2965" t="s">
        <v>3202</v>
      </c>
      <c r="E89" s="2965" t="s">
        <v>3203</v>
      </c>
      <c r="F89" s="1910"/>
      <c r="G89" s="493"/>
      <c r="H89" s="493"/>
      <c r="I89" s="493"/>
      <c r="J89" s="493"/>
      <c r="K89" s="493"/>
      <c r="L89" s="493"/>
      <c r="M89" s="519"/>
      <c r="N89" s="2687"/>
      <c r="O89" s="2687"/>
      <c r="P89" s="2697"/>
      <c r="Q89" s="2675"/>
      <c r="R89" s="2606"/>
      <c r="S89" s="2606"/>
      <c r="T89" s="2606"/>
      <c r="U89" s="2606"/>
      <c r="V89" s="2606"/>
      <c r="W89" s="2606"/>
      <c r="X89" s="2606"/>
      <c r="Y89" s="2606"/>
      <c r="Z89" s="2606"/>
      <c r="AA89" s="2606"/>
      <c r="AB89" s="2606"/>
      <c r="AC89" s="2606"/>
    </row>
    <row r="90" spans="1:29" s="107" customFormat="1" ht="15.75"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9"/>
      <c r="O90" s="2689"/>
      <c r="P90" s="2697"/>
      <c r="Q90" s="2675"/>
      <c r="R90" s="2606"/>
      <c r="S90" s="2606"/>
      <c r="T90" s="2606"/>
      <c r="U90" s="2606"/>
      <c r="V90" s="2606"/>
      <c r="W90" s="2606"/>
      <c r="X90" s="2606"/>
      <c r="Y90" s="2606"/>
      <c r="Z90" s="2606"/>
      <c r="AA90" s="2606"/>
      <c r="AB90" s="2606"/>
      <c r="AC90" s="2606"/>
    </row>
    <row r="91" spans="1:29" s="416" customFormat="1" ht="15.7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0"/>
      <c r="O92" s="2690"/>
      <c r="P92" s="2698"/>
      <c r="Q92" s="2682"/>
      <c r="R92" s="2660"/>
      <c r="S92" s="2660"/>
      <c r="T92" s="2660"/>
      <c r="U92" s="2660"/>
      <c r="V92" s="2660"/>
      <c r="W92" s="2660"/>
      <c r="X92" s="2660"/>
      <c r="Y92" s="2660"/>
      <c r="Z92" s="2660"/>
      <c r="AA92" s="2660"/>
      <c r="AB92" s="2660"/>
      <c r="AC92" s="2660"/>
    </row>
    <row r="93" spans="1:29" ht="15.7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5.7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5.7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5.7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5.7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5.7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2144</v>
      </c>
      <c r="B101" s="468" t="s">
        <v>2193</v>
      </c>
      <c r="C101" s="2968" t="s">
        <v>3282</v>
      </c>
      <c r="D101" s="2968" t="s">
        <v>3280</v>
      </c>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83">
        <v>100</v>
      </c>
      <c r="D102" s="483">
        <f t="shared" ref="D102:M102" si="22">C102-$K33</f>
        <v>90</v>
      </c>
      <c r="E102" s="483">
        <f t="shared" si="22"/>
        <v>80</v>
      </c>
      <c r="F102" s="483">
        <f t="shared" si="22"/>
        <v>70</v>
      </c>
      <c r="G102" s="483">
        <f t="shared" si="22"/>
        <v>60</v>
      </c>
      <c r="H102" s="483">
        <f t="shared" si="22"/>
        <v>50</v>
      </c>
      <c r="I102" s="483">
        <f t="shared" si="22"/>
        <v>40</v>
      </c>
      <c r="J102" s="483">
        <f t="shared" si="22"/>
        <v>30</v>
      </c>
      <c r="K102" s="483">
        <f t="shared" si="22"/>
        <v>20</v>
      </c>
      <c r="L102" s="483">
        <f t="shared" si="22"/>
        <v>10</v>
      </c>
      <c r="M102" s="484">
        <f t="shared" si="22"/>
        <v>0</v>
      </c>
      <c r="N102" s="2689"/>
      <c r="O102" s="2689"/>
      <c r="P102" s="2697"/>
      <c r="Q102" s="2675"/>
      <c r="R102" s="2654"/>
      <c r="S102" s="2654"/>
      <c r="T102" s="2654"/>
      <c r="U102" s="2654"/>
      <c r="V102" s="2654"/>
      <c r="W102" s="2654"/>
      <c r="X102" s="2654"/>
      <c r="Y102" s="2654"/>
      <c r="Z102" s="2654"/>
      <c r="AA102" s="2654"/>
      <c r="AB102" s="2654"/>
      <c r="AC102" s="2654"/>
    </row>
    <row r="103" spans="1:29" ht="29.25" thickTop="1">
      <c r="A103" s="375"/>
      <c r="B103" s="477" t="s">
        <v>2194</v>
      </c>
      <c r="C103" s="517" t="str">
        <f>C104&amp;"(含)"&amp;"-"&amp;D104</f>
        <v>0(含)-500</v>
      </c>
      <c r="D103" s="517" t="str">
        <f t="shared" ref="D103:L103" si="23">D104&amp;"(含)"&amp;"-"&amp;E104</f>
        <v>500(含)-2500</v>
      </c>
      <c r="E103" s="517" t="str">
        <f t="shared" si="23"/>
        <v>2500(含)-4500</v>
      </c>
      <c r="F103" s="517" t="str">
        <f t="shared" si="23"/>
        <v>4500(含)-6500</v>
      </c>
      <c r="G103" s="517" t="str">
        <f t="shared" si="23"/>
        <v>6500(含)-15000</v>
      </c>
      <c r="H103" s="517" t="str">
        <f t="shared" si="23"/>
        <v>15000(含)-</v>
      </c>
      <c r="I103" s="517" t="str">
        <f t="shared" si="23"/>
        <v>(含)-</v>
      </c>
      <c r="J103" s="517" t="str">
        <f t="shared" si="23"/>
        <v>(含)-</v>
      </c>
      <c r="K103" s="517" t="str">
        <f t="shared" si="23"/>
        <v>(含)-</v>
      </c>
      <c r="L103" s="517" t="str">
        <f t="shared" si="23"/>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v>0</v>
      </c>
      <c r="D104" s="9">
        <v>500</v>
      </c>
      <c r="E104" s="9">
        <f>D104+2000</f>
        <v>2500</v>
      </c>
      <c r="F104" s="9">
        <f t="shared" ref="F104" si="24">E104+2000</f>
        <v>4500</v>
      </c>
      <c r="G104" s="9">
        <f t="shared" ref="G104" si="25">F104+2000</f>
        <v>6500</v>
      </c>
      <c r="H104" s="9">
        <v>15000</v>
      </c>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5.75" thickBot="1">
      <c r="A105" s="492"/>
      <c r="B105" s="482"/>
      <c r="C105" s="499">
        <v>100</v>
      </c>
      <c r="D105" s="475">
        <f>C105-1</f>
        <v>99</v>
      </c>
      <c r="E105" s="475">
        <f>D105-1</f>
        <v>98</v>
      </c>
      <c r="F105" s="475">
        <f t="shared" ref="F105" si="26">E105-1</f>
        <v>97</v>
      </c>
      <c r="G105" s="475">
        <f t="shared" ref="G105" si="27">F105-1</f>
        <v>96</v>
      </c>
      <c r="H105" s="475">
        <f t="shared" ref="H105" si="28">G105-1</f>
        <v>95</v>
      </c>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5" thickTop="1">
      <c r="A106" s="417"/>
      <c r="B106" s="477" t="s">
        <v>2195</v>
      </c>
      <c r="C106" s="2965" t="s">
        <v>3188</v>
      </c>
      <c r="D106" s="2965" t="s">
        <v>3189</v>
      </c>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5.75" thickBot="1">
      <c r="A107" s="375"/>
      <c r="B107" s="482"/>
      <c r="C107" s="483">
        <v>100</v>
      </c>
      <c r="D107" s="483">
        <f t="shared" ref="D107:M107" si="29">C107-$K35</f>
        <v>98</v>
      </c>
      <c r="E107" s="483">
        <f t="shared" si="29"/>
        <v>96</v>
      </c>
      <c r="F107" s="483">
        <f t="shared" si="29"/>
        <v>94</v>
      </c>
      <c r="G107" s="483">
        <f t="shared" si="29"/>
        <v>92</v>
      </c>
      <c r="H107" s="483">
        <f t="shared" si="29"/>
        <v>90</v>
      </c>
      <c r="I107" s="483">
        <f t="shared" si="29"/>
        <v>88</v>
      </c>
      <c r="J107" s="483">
        <f t="shared" si="29"/>
        <v>86</v>
      </c>
      <c r="K107" s="483">
        <f t="shared" si="29"/>
        <v>84</v>
      </c>
      <c r="L107" s="483">
        <f t="shared" si="29"/>
        <v>82</v>
      </c>
      <c r="M107" s="484">
        <f t="shared" si="29"/>
        <v>80</v>
      </c>
      <c r="N107" s="2689"/>
      <c r="O107" s="2689"/>
      <c r="P107" s="2697"/>
      <c r="Q107" s="2675"/>
      <c r="R107" s="2654"/>
      <c r="S107" s="2654"/>
      <c r="T107" s="2654"/>
      <c r="U107" s="2654"/>
      <c r="V107" s="2654"/>
      <c r="W107" s="2654"/>
      <c r="X107" s="2654"/>
      <c r="Y107" s="2654"/>
      <c r="Z107" s="2654"/>
      <c r="AA107" s="2654"/>
      <c r="AB107" s="2654"/>
      <c r="AC107" s="2654"/>
    </row>
    <row r="108" spans="1:29" ht="15" thickTop="1">
      <c r="A108" s="417"/>
      <c r="B108" s="477" t="s">
        <v>2197</v>
      </c>
      <c r="C108" s="2965" t="s">
        <v>3205</v>
      </c>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5.75" thickBot="1">
      <c r="A109" s="375"/>
      <c r="B109" s="482"/>
      <c r="C109" s="483">
        <v>100</v>
      </c>
      <c r="D109" s="483">
        <f t="shared" ref="D109:M109" si="30">C109-$K36</f>
        <v>98</v>
      </c>
      <c r="E109" s="483">
        <f t="shared" si="30"/>
        <v>96</v>
      </c>
      <c r="F109" s="483">
        <f t="shared" si="30"/>
        <v>94</v>
      </c>
      <c r="G109" s="483">
        <f t="shared" si="30"/>
        <v>92</v>
      </c>
      <c r="H109" s="483">
        <f t="shared" si="30"/>
        <v>90</v>
      </c>
      <c r="I109" s="483">
        <f t="shared" si="30"/>
        <v>88</v>
      </c>
      <c r="J109" s="483">
        <f t="shared" si="30"/>
        <v>86</v>
      </c>
      <c r="K109" s="483">
        <f t="shared" si="30"/>
        <v>84</v>
      </c>
      <c r="L109" s="483">
        <f t="shared" si="30"/>
        <v>82</v>
      </c>
      <c r="M109" s="484">
        <f t="shared" si="30"/>
        <v>80</v>
      </c>
      <c r="N109" s="2689"/>
      <c r="O109" s="2689"/>
      <c r="P109" s="2697"/>
      <c r="Q109" s="2675"/>
      <c r="R109" s="2654"/>
      <c r="S109" s="2654"/>
      <c r="T109" s="2654"/>
      <c r="U109" s="2654"/>
      <c r="V109" s="2654"/>
      <c r="W109" s="2654"/>
      <c r="X109" s="2654"/>
      <c r="Y109" s="2654"/>
      <c r="Z109" s="2654"/>
      <c r="AA109" s="2654"/>
      <c r="AB109" s="2654"/>
      <c r="AC109" s="2654"/>
    </row>
    <row r="110" spans="1:29" ht="1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5.75" thickBot="1">
      <c r="A112" s="375"/>
      <c r="B112" s="482"/>
      <c r="C112" s="520">
        <v>100</v>
      </c>
      <c r="D112" s="483">
        <f>C112+$K37</f>
        <v>104</v>
      </c>
      <c r="E112" s="483">
        <f t="shared" ref="E112:M112" si="31">D112+$K37</f>
        <v>108</v>
      </c>
      <c r="F112" s="483">
        <f t="shared" si="31"/>
        <v>112</v>
      </c>
      <c r="G112" s="483">
        <f t="shared" si="31"/>
        <v>116</v>
      </c>
      <c r="H112" s="483">
        <f t="shared" si="31"/>
        <v>120</v>
      </c>
      <c r="I112" s="483">
        <f t="shared" si="31"/>
        <v>124</v>
      </c>
      <c r="J112" s="483">
        <f t="shared" si="31"/>
        <v>128</v>
      </c>
      <c r="K112" s="483">
        <f t="shared" si="31"/>
        <v>132</v>
      </c>
      <c r="L112" s="483">
        <f t="shared" si="31"/>
        <v>136</v>
      </c>
      <c r="M112" s="483">
        <f t="shared" si="31"/>
        <v>140</v>
      </c>
      <c r="N112" s="2689"/>
      <c r="O112" s="2689"/>
      <c r="P112" s="2697"/>
      <c r="Q112" s="2675"/>
      <c r="R112" s="2654"/>
      <c r="S112" s="2654"/>
      <c r="T112" s="2654"/>
      <c r="U112" s="2654"/>
      <c r="V112" s="2654"/>
      <c r="W112" s="2654"/>
      <c r="X112" s="2654"/>
      <c r="Y112" s="2654"/>
      <c r="Z112" s="2654"/>
      <c r="AA112" s="2654"/>
      <c r="AB112" s="2654"/>
      <c r="AC112" s="2654"/>
    </row>
    <row r="113" spans="1:29" s="416" customFormat="1" ht="15" thickTop="1">
      <c r="A113" s="414"/>
      <c r="B113" s="477" t="s">
        <v>2281</v>
      </c>
      <c r="C113" s="2965" t="s">
        <v>3212</v>
      </c>
      <c r="D113" s="2965" t="s">
        <v>3214</v>
      </c>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5.75" thickBot="1">
      <c r="A114" s="492"/>
      <c r="B114" s="482"/>
      <c r="C114" s="483">
        <v>100</v>
      </c>
      <c r="D114" s="483">
        <f>C114-$K38</f>
        <v>95</v>
      </c>
      <c r="E114" s="483">
        <f t="shared" ref="E114:M114" si="32">D114-$K38</f>
        <v>90</v>
      </c>
      <c r="F114" s="483">
        <f t="shared" si="32"/>
        <v>85</v>
      </c>
      <c r="G114" s="483">
        <f t="shared" si="32"/>
        <v>80</v>
      </c>
      <c r="H114" s="483">
        <f t="shared" si="32"/>
        <v>75</v>
      </c>
      <c r="I114" s="483">
        <f t="shared" si="32"/>
        <v>70</v>
      </c>
      <c r="J114" s="483">
        <f t="shared" si="32"/>
        <v>65</v>
      </c>
      <c r="K114" s="483">
        <f t="shared" si="32"/>
        <v>60</v>
      </c>
      <c r="L114" s="483">
        <f t="shared" si="32"/>
        <v>55</v>
      </c>
      <c r="M114" s="483">
        <f t="shared" si="32"/>
        <v>50</v>
      </c>
      <c r="N114" s="2690"/>
      <c r="O114" s="2690"/>
      <c r="P114" s="2698"/>
      <c r="Q114" s="2682"/>
      <c r="R114" s="2660"/>
      <c r="S114" s="2660"/>
      <c r="T114" s="2660"/>
      <c r="U114" s="2660"/>
      <c r="V114" s="2660"/>
      <c r="W114" s="2660"/>
      <c r="X114" s="2660"/>
      <c r="Y114" s="2660"/>
      <c r="Z114" s="2660"/>
      <c r="AA114" s="2660"/>
      <c r="AB114" s="2660"/>
      <c r="AC114" s="2660"/>
    </row>
    <row r="115" spans="1:29" ht="15" thickTop="1">
      <c r="A115" s="417"/>
      <c r="B115" s="477" t="s">
        <v>2198</v>
      </c>
      <c r="C115" s="2965" t="s">
        <v>3216</v>
      </c>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5.75" thickBot="1">
      <c r="A116" s="375"/>
      <c r="B116" s="482"/>
      <c r="C116" s="483">
        <v>100</v>
      </c>
      <c r="D116" s="483">
        <f t="shared" ref="D116:M116" si="33">C116-$K39</f>
        <v>98</v>
      </c>
      <c r="E116" s="483">
        <f t="shared" si="33"/>
        <v>96</v>
      </c>
      <c r="F116" s="483">
        <f t="shared" si="33"/>
        <v>94</v>
      </c>
      <c r="G116" s="483">
        <f t="shared" si="33"/>
        <v>92</v>
      </c>
      <c r="H116" s="483">
        <f t="shared" si="33"/>
        <v>90</v>
      </c>
      <c r="I116" s="483">
        <f t="shared" si="33"/>
        <v>88</v>
      </c>
      <c r="J116" s="483">
        <f t="shared" si="33"/>
        <v>86</v>
      </c>
      <c r="K116" s="483">
        <f t="shared" si="33"/>
        <v>84</v>
      </c>
      <c r="L116" s="483">
        <f t="shared" si="33"/>
        <v>82</v>
      </c>
      <c r="M116" s="484">
        <f t="shared" si="33"/>
        <v>80</v>
      </c>
      <c r="N116" s="2689"/>
      <c r="O116" s="2689"/>
      <c r="P116" s="2697"/>
      <c r="Q116" s="2675"/>
      <c r="R116" s="2654"/>
      <c r="S116" s="2654"/>
      <c r="T116" s="2654"/>
      <c r="U116" s="2654"/>
      <c r="V116" s="2654"/>
      <c r="W116" s="2654"/>
      <c r="X116" s="2654"/>
      <c r="Y116" s="2654"/>
      <c r="Z116" s="2654"/>
      <c r="AA116" s="2654"/>
      <c r="AB116" s="2654"/>
      <c r="AC116" s="2654"/>
    </row>
    <row r="117" spans="1:29" ht="15" thickTop="1">
      <c r="A117" s="417"/>
      <c r="B117" s="477" t="s">
        <v>2199</v>
      </c>
      <c r="C117" s="493" t="s">
        <v>3193</v>
      </c>
      <c r="D117" s="493" t="s">
        <v>3208</v>
      </c>
      <c r="E117" s="493" t="s">
        <v>3209</v>
      </c>
      <c r="F117" s="493" t="s">
        <v>3210</v>
      </c>
      <c r="G117" s="493" t="s">
        <v>3211</v>
      </c>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5.75" thickBot="1">
      <c r="A118" s="375"/>
      <c r="B118" s="482"/>
      <c r="C118" s="483">
        <v>100</v>
      </c>
      <c r="D118" s="483">
        <f>C118-$K40</f>
        <v>99</v>
      </c>
      <c r="E118" s="483">
        <f>D118-$K40</f>
        <v>98</v>
      </c>
      <c r="F118" s="483">
        <f>E118-$K40</f>
        <v>97</v>
      </c>
      <c r="G118" s="483">
        <f>F118-$K40</f>
        <v>96</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5" thickTop="1">
      <c r="A119" s="417"/>
      <c r="B119" s="568" t="s">
        <v>2282</v>
      </c>
      <c r="C119" s="2969" t="s">
        <v>3265</v>
      </c>
      <c r="D119" s="2969" t="s">
        <v>3207</v>
      </c>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5.75" thickBot="1">
      <c r="A120" s="375"/>
      <c r="B120" s="482"/>
      <c r="C120" s="520">
        <v>100</v>
      </c>
      <c r="D120" s="483">
        <f>C120-$K41</f>
        <v>94</v>
      </c>
      <c r="E120" s="483">
        <f t="shared" ref="E120:M120" si="34">D120-$K41</f>
        <v>88</v>
      </c>
      <c r="F120" s="483">
        <f t="shared" si="34"/>
        <v>82</v>
      </c>
      <c r="G120" s="483">
        <f t="shared" si="34"/>
        <v>76</v>
      </c>
      <c r="H120" s="483">
        <f t="shared" si="34"/>
        <v>70</v>
      </c>
      <c r="I120" s="483">
        <f t="shared" si="34"/>
        <v>64</v>
      </c>
      <c r="J120" s="483">
        <f t="shared" si="34"/>
        <v>58</v>
      </c>
      <c r="K120" s="483">
        <f t="shared" si="34"/>
        <v>52</v>
      </c>
      <c r="L120" s="483">
        <f t="shared" si="34"/>
        <v>46</v>
      </c>
      <c r="M120" s="483">
        <f t="shared" si="34"/>
        <v>40</v>
      </c>
      <c r="N120" s="2689"/>
      <c r="O120" s="2689"/>
      <c r="P120" s="2697"/>
      <c r="Q120" s="2675"/>
      <c r="R120" s="2654"/>
      <c r="S120" s="2654"/>
      <c r="T120" s="2654"/>
      <c r="U120" s="2654"/>
      <c r="V120" s="2654"/>
      <c r="W120" s="2654"/>
      <c r="X120" s="2654"/>
      <c r="Y120" s="2654"/>
      <c r="Z120" s="2654"/>
      <c r="AA120" s="2654"/>
      <c r="AB120" s="2654"/>
      <c r="AC120" s="2654"/>
    </row>
    <row r="121" spans="1:29" s="416" customFormat="1" ht="15" thickTop="1">
      <c r="A121" s="414"/>
      <c r="B121" s="477" t="s">
        <v>2265</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5.7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15" thickTop="1">
      <c r="A123" s="417"/>
      <c r="B123" s="477" t="s">
        <v>2201</v>
      </c>
      <c r="C123" s="2965" t="s">
        <v>3205</v>
      </c>
      <c r="D123" s="2965" t="s">
        <v>3260</v>
      </c>
      <c r="E123" s="2965" t="s">
        <v>3261</v>
      </c>
      <c r="F123" s="2969" t="s">
        <v>3262</v>
      </c>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5.75" thickBot="1">
      <c r="A124" s="375"/>
      <c r="B124" s="482"/>
      <c r="C124" s="483">
        <v>100</v>
      </c>
      <c r="D124" s="483">
        <f t="shared" ref="D124:M124" si="35">C124-$K43</f>
        <v>98</v>
      </c>
      <c r="E124" s="483">
        <f t="shared" si="35"/>
        <v>96</v>
      </c>
      <c r="F124" s="483">
        <f t="shared" si="35"/>
        <v>94</v>
      </c>
      <c r="G124" s="483">
        <f t="shared" si="35"/>
        <v>92</v>
      </c>
      <c r="H124" s="483">
        <f t="shared" si="35"/>
        <v>90</v>
      </c>
      <c r="I124" s="483">
        <f t="shared" si="35"/>
        <v>88</v>
      </c>
      <c r="J124" s="483">
        <f t="shared" si="35"/>
        <v>86</v>
      </c>
      <c r="K124" s="483">
        <f t="shared" si="35"/>
        <v>84</v>
      </c>
      <c r="L124" s="483">
        <f t="shared" si="35"/>
        <v>82</v>
      </c>
      <c r="M124" s="484">
        <f t="shared" si="35"/>
        <v>80</v>
      </c>
      <c r="N124" s="2689"/>
      <c r="O124" s="2689"/>
      <c r="P124" s="2697"/>
      <c r="Q124" s="2675"/>
      <c r="R124" s="2654"/>
      <c r="S124" s="2654"/>
      <c r="T124" s="2654"/>
      <c r="U124" s="2654"/>
      <c r="V124" s="2654"/>
      <c r="W124" s="2654"/>
      <c r="X124" s="2654"/>
      <c r="Y124" s="2654"/>
      <c r="Z124" s="2654"/>
      <c r="AA124" s="2654"/>
      <c r="AB124" s="2654"/>
      <c r="AC124" s="2654"/>
    </row>
    <row r="125" spans="1:29" ht="15" thickTop="1">
      <c r="A125" s="417"/>
      <c r="B125" s="477" t="s">
        <v>2202</v>
      </c>
      <c r="C125" s="517" t="s">
        <v>2178</v>
      </c>
      <c r="D125" s="517" t="s">
        <v>2179</v>
      </c>
      <c r="E125" s="517" t="s">
        <v>2180</v>
      </c>
      <c r="F125" s="517" t="s">
        <v>2181</v>
      </c>
      <c r="G125" s="517" t="s">
        <v>2182</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5.75" thickBot="1">
      <c r="A126" s="375"/>
      <c r="B126" s="482"/>
      <c r="C126" s="483">
        <v>100</v>
      </c>
      <c r="D126" s="483">
        <f>C126-$K44</f>
        <v>98</v>
      </c>
      <c r="E126" s="483">
        <f>D126-$K44</f>
        <v>96</v>
      </c>
      <c r="F126" s="483">
        <f>E126-$K44</f>
        <v>94</v>
      </c>
      <c r="G126" s="483">
        <f>F126-$K44</f>
        <v>92</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5" thickTop="1">
      <c r="A127" s="414"/>
      <c r="B127" s="477" t="str">
        <f>B45</f>
        <v>出租比例</v>
      </c>
      <c r="C127" s="2972">
        <v>1</v>
      </c>
      <c r="D127" s="2972">
        <v>0.9</v>
      </c>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5.75" thickBot="1">
      <c r="A128" s="492"/>
      <c r="B128" s="482"/>
      <c r="C128" s="499">
        <v>100</v>
      </c>
      <c r="D128" s="475">
        <v>95</v>
      </c>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5" thickTop="1">
      <c r="A129" s="417"/>
      <c r="B129" s="477">
        <f>B46</f>
        <v>0</v>
      </c>
      <c r="C129" s="2965" t="s">
        <v>3263</v>
      </c>
      <c r="D129" s="2965" t="s">
        <v>3264</v>
      </c>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5.75" thickBot="1">
      <c r="A130" s="375"/>
      <c r="B130" s="482"/>
      <c r="C130" s="499">
        <v>100</v>
      </c>
      <c r="D130" s="499">
        <v>75</v>
      </c>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5.7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1335</v>
      </c>
    </row>
    <row r="3" spans="1:1" ht="18">
      <c r="A3" s="1511" t="str">
        <f>项目基本情况!B5&amp;"："</f>
        <v>：</v>
      </c>
    </row>
    <row r="4" spans="1:1" ht="18">
      <c r="A4" s="1512" t="str">
        <f>"受贵公司委托，我公司对"&amp;项目基本情况!S1&amp;"进行了预评估。"</f>
        <v>受贵公司委托，我公司对北京市房地产市场价值进行了预评估。</v>
      </c>
    </row>
    <row r="5" spans="1:1" ht="18.75">
      <c r="A5" s="1513" t="s">
        <v>1336</v>
      </c>
    </row>
    <row r="6" spans="1:1" ht="18.75">
      <c r="A6" s="1514" t="s">
        <v>1337</v>
      </c>
    </row>
    <row r="7" spans="1:1" ht="54">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7.75">
      <c r="A8" s="1515" t="s">
        <v>1338</v>
      </c>
    </row>
    <row r="9" spans="1:1" ht="18.75">
      <c r="A9" s="1514" t="s">
        <v>1339</v>
      </c>
    </row>
    <row r="10" spans="1:1" ht="54">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6.5">
      <c r="A11" s="1515" t="s">
        <v>1340</v>
      </c>
    </row>
    <row r="12" spans="1:1" ht="18.75">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8.75">
      <c r="A14" s="1511" t="s">
        <v>1342</v>
      </c>
    </row>
    <row r="15" spans="1:1" ht="18">
      <c r="A15" s="1516" t="str">
        <f>TEXT(项目基本情况!D3,"yyyy年m月d日;;")&amp;IF(项目基本情况!D3=项目基本情况!B3,"（评估专业人员实地查勘之日）","")</f>
        <v>2022年10月14日（评估专业人员实地查勘之日）</v>
      </c>
    </row>
    <row r="16" spans="1:1" ht="18.75">
      <c r="A16" s="1511" t="s">
        <v>1343</v>
      </c>
    </row>
    <row r="17" spans="1:1" ht="75">
      <c r="A17" s="1512" t="s">
        <v>1344</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12" t="str">
        <f>IF(项目基本情况!B9="房地产市场价值","——",IF(项目基本情况!E8="房地产抵押价值",定义!C54,IF(项目基本情况!E8="已注销",定义!C55,定义!C56)))</f>
        <v>——</v>
      </c>
    </row>
    <row r="21" spans="1:1" ht="18">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12" t="str">
        <f>IF(项目基本情况!B9="房地产市场价值","——",IF(项目基本情况!E9="——","",定义!C57))</f>
        <v>——</v>
      </c>
    </row>
    <row r="23" spans="1:1" ht="18.75">
      <c r="A23" s="1511" t="s">
        <v>1333</v>
      </c>
    </row>
    <row r="24" spans="1:1" ht="18">
      <c r="A24" s="1517" t="str">
        <f>"本次评估采用的主估价方法为"&amp;结果表!K4&amp;"和"&amp;结果表!L4&amp;"。"</f>
        <v>本次评估采用的主估价方法为比较法和成本法。</v>
      </c>
    </row>
    <row r="25" spans="1:1" ht="18">
      <c r="A25" s="1517"/>
    </row>
    <row r="26" spans="1:1" ht="18.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2109</v>
      </c>
      <c r="B1" s="1938" t="s">
        <v>2283</v>
      </c>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IF(C2="——",ROUND(C43*D3/10000,0),ROUND(C43*D3/10000,0)-D2)</f>
        <v>#DIV/0!</v>
      </c>
      <c r="C2" s="1867"/>
      <c r="D2" s="961" t="e">
        <f ca="1">SUMIF(INDIRECT("'"&amp;F2&amp;"'"&amp;"!A:A"),"承租人权益价值",INDIRECT("'"&amp;F2&amp;"'"&amp;"!c:c"))</f>
        <v>#REF!</v>
      </c>
      <c r="E2" s="1868" t="s">
        <v>1909</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2225</v>
      </c>
      <c r="D3" s="349">
        <f>IF(D1="",'数据-汇总表'!E3,SUMIF('数据-汇总表'!$C19:$C33,D1,'数据-汇总表'!$E19:$E33))</f>
        <v>11320.8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2226</v>
      </c>
      <c r="B4" s="352"/>
      <c r="C4" s="3230" t="s">
        <v>2227</v>
      </c>
      <c r="D4" s="3231"/>
      <c r="E4" s="3232" t="s">
        <v>2228</v>
      </c>
      <c r="F4" s="3233"/>
      <c r="G4" s="3230" t="s">
        <v>2229</v>
      </c>
      <c r="H4" s="3231"/>
      <c r="I4" s="3230" t="s">
        <v>2230</v>
      </c>
      <c r="J4" s="3231"/>
      <c r="K4" s="545" t="s">
        <v>2231</v>
      </c>
      <c r="L4" s="967"/>
      <c r="M4" s="968"/>
      <c r="N4" s="968"/>
      <c r="O4" s="968"/>
      <c r="P4" s="3234" t="s">
        <v>2232</v>
      </c>
      <c r="Q4" s="3235"/>
      <c r="R4" s="3217" t="s">
        <v>2228</v>
      </c>
      <c r="S4" s="3218"/>
      <c r="T4" s="3217" t="s">
        <v>2229</v>
      </c>
      <c r="U4" s="3218"/>
      <c r="V4" s="3242" t="s">
        <v>2230</v>
      </c>
      <c r="W4" s="3242"/>
      <c r="X4" s="1394"/>
      <c r="Y4" s="3217" t="s">
        <v>2232</v>
      </c>
      <c r="Z4" s="3218"/>
      <c r="AA4" s="3212" t="s">
        <v>2228</v>
      </c>
      <c r="AB4" s="3213" t="s">
        <v>2229</v>
      </c>
      <c r="AC4" s="3212" t="s">
        <v>2230</v>
      </c>
    </row>
    <row r="5" spans="1:29" ht="15">
      <c r="A5" s="354"/>
      <c r="B5" s="355"/>
      <c r="C5" s="3223" t="s">
        <v>2123</v>
      </c>
      <c r="D5" s="3224"/>
      <c r="E5" s="3221" t="s">
        <v>2124</v>
      </c>
      <c r="F5" s="3222"/>
      <c r="G5" s="3223" t="s">
        <v>2125</v>
      </c>
      <c r="H5" s="3224"/>
      <c r="I5" s="3223" t="s">
        <v>2126</v>
      </c>
      <c r="J5" s="3224"/>
      <c r="K5" s="545"/>
      <c r="L5" s="967"/>
      <c r="M5" s="968"/>
      <c r="N5" s="968"/>
      <c r="O5" s="968"/>
      <c r="P5" s="3236"/>
      <c r="Q5" s="3237"/>
      <c r="R5" s="3219"/>
      <c r="S5" s="3220"/>
      <c r="T5" s="3219"/>
      <c r="U5" s="3220"/>
      <c r="V5" s="3242"/>
      <c r="W5" s="3242"/>
      <c r="X5" s="1394"/>
      <c r="Y5" s="3219"/>
      <c r="Z5" s="3220"/>
      <c r="AA5" s="3213"/>
      <c r="AB5" s="3213"/>
      <c r="AC5" s="3213"/>
    </row>
    <row r="6" spans="1:29" ht="15.75" thickBot="1">
      <c r="A6" s="356"/>
      <c r="B6" s="357"/>
      <c r="C6" s="3225" t="s">
        <v>2127</v>
      </c>
      <c r="D6" s="3226"/>
      <c r="E6" s="3227" t="s">
        <v>2127</v>
      </c>
      <c r="F6" s="3228"/>
      <c r="G6" s="3225" t="s">
        <v>2127</v>
      </c>
      <c r="H6" s="3226"/>
      <c r="I6" s="3225" t="s">
        <v>2127</v>
      </c>
      <c r="J6" s="3226"/>
      <c r="K6" s="545" t="s">
        <v>2128</v>
      </c>
      <c r="L6" s="967"/>
      <c r="M6" s="968"/>
      <c r="N6" s="968"/>
      <c r="O6" s="968"/>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SUMIF(52:52,YEAR(E7)&amp;"-"&amp;MONTH(E7),53:53)</f>
        <v>0</v>
      </c>
      <c r="G7" s="362"/>
      <c r="H7" s="361">
        <f>SUMIF(52:52,YEAR(G7)&amp;"-"&amp;MONTH(G7),53:53)</f>
        <v>0</v>
      </c>
      <c r="I7" s="362"/>
      <c r="J7" s="361">
        <f>SUMIF(52:52,YEAR(I7)&amp;"-"&amp;MONTH(I7),53:53)</f>
        <v>0</v>
      </c>
      <c r="K7" s="41"/>
      <c r="L7" s="969"/>
      <c r="M7" s="970"/>
      <c r="N7" s="970"/>
      <c r="O7" s="970"/>
      <c r="P7" s="3215" t="s">
        <v>2130</v>
      </c>
      <c r="Q7" s="3243"/>
      <c r="R7" s="673" t="s">
        <v>17</v>
      </c>
      <c r="S7" s="674">
        <f t="shared" ref="S7:S15" si="0">F7</f>
        <v>0</v>
      </c>
      <c r="T7" s="673" t="s">
        <v>17</v>
      </c>
      <c r="U7" s="674">
        <f t="shared" ref="U7:U15" si="1">H7</f>
        <v>0</v>
      </c>
      <c r="V7" s="673" t="s">
        <v>17</v>
      </c>
      <c r="W7" s="674">
        <f t="shared" ref="W7:W15" si="2">J7</f>
        <v>0</v>
      </c>
      <c r="X7" s="675"/>
      <c r="Y7" s="3215" t="s">
        <v>2130</v>
      </c>
      <c r="Z7" s="3216"/>
      <c r="AA7" s="53" t="e">
        <f>D7/F7</f>
        <v>#DIV/0!</v>
      </c>
      <c r="AB7" s="53" t="e">
        <f>D7/H7</f>
        <v>#DIV/0!</v>
      </c>
      <c r="AC7" s="53" t="e">
        <f>D7/J7</f>
        <v>#DIV/0!</v>
      </c>
    </row>
    <row r="8" spans="1:29" s="107" customFormat="1" ht="15.75" thickBot="1">
      <c r="A8" s="358" t="s">
        <v>2131</v>
      </c>
      <c r="B8" s="359"/>
      <c r="C8" s="364" t="s">
        <v>2132</v>
      </c>
      <c r="D8" s="361">
        <v>100</v>
      </c>
      <c r="E8" s="364"/>
      <c r="F8" s="363">
        <f>SUMIF(55:55,E8,56:56)-SUMIF(55:55,C8,56:56)+100</f>
        <v>0</v>
      </c>
      <c r="G8" s="364"/>
      <c r="H8" s="361">
        <f>SUMIF(55:55,G8,56:56)-SUMIF(55:55,C8,56:56)+100</f>
        <v>0</v>
      </c>
      <c r="I8" s="364"/>
      <c r="J8" s="361">
        <f>SUMIF(55:55,I8,56:56)-SUMIF(55:55,C8,56:56)+100</f>
        <v>0</v>
      </c>
      <c r="K8" s="41"/>
      <c r="L8" s="969"/>
      <c r="M8" s="970"/>
      <c r="N8" s="970"/>
      <c r="O8" s="970"/>
      <c r="P8" s="3215" t="s">
        <v>2133</v>
      </c>
      <c r="Q8" s="3216"/>
      <c r="R8" s="673" t="s">
        <v>17</v>
      </c>
      <c r="S8" s="674">
        <f t="shared" si="0"/>
        <v>0</v>
      </c>
      <c r="T8" s="673" t="s">
        <v>17</v>
      </c>
      <c r="U8" s="674">
        <f t="shared" si="1"/>
        <v>0</v>
      </c>
      <c r="V8" s="673" t="s">
        <v>17</v>
      </c>
      <c r="W8" s="674">
        <f t="shared" si="2"/>
        <v>0</v>
      </c>
      <c r="X8" s="675"/>
      <c r="Y8" s="3215" t="s">
        <v>2133</v>
      </c>
      <c r="Z8" s="3216"/>
      <c r="AA8" s="53" t="e">
        <f t="shared" ref="AA8:AA40" si="3">D8/F8</f>
        <v>#DIV/0!</v>
      </c>
      <c r="AB8" s="53" t="e">
        <f t="shared" ref="AB8:AB40" si="4">D8/H8</f>
        <v>#DIV/0!</v>
      </c>
      <c r="AC8" s="53" t="e">
        <f t="shared" ref="AC8:AC40" si="5">D8/J8</f>
        <v>#DIV/0!</v>
      </c>
    </row>
    <row r="9" spans="1:29" s="107" customFormat="1">
      <c r="A9" s="365" t="s">
        <v>2134</v>
      </c>
      <c r="B9" s="64" t="s">
        <v>2135</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47"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53">
        <f t="shared" si="5"/>
        <v>1</v>
      </c>
    </row>
    <row r="10" spans="1:29" s="374" customFormat="1" ht="27">
      <c r="A10" s="369"/>
      <c r="B10" s="370" t="s">
        <v>2138</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47"/>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53">
        <f t="shared" si="5"/>
        <v>1</v>
      </c>
    </row>
    <row r="11" spans="1:29" ht="15">
      <c r="A11" s="375"/>
      <c r="B11" s="370" t="s">
        <v>2139</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47"/>
      <c r="Q11" s="538" t="str">
        <f t="shared" si="6"/>
        <v>容积率</v>
      </c>
      <c r="R11" s="673" t="s">
        <v>17</v>
      </c>
      <c r="S11" s="674" t="e">
        <f t="shared" si="0"/>
        <v>#N/A</v>
      </c>
      <c r="T11" s="673" t="s">
        <v>17</v>
      </c>
      <c r="U11" s="674" t="e">
        <f t="shared" si="1"/>
        <v>#N/A</v>
      </c>
      <c r="V11" s="673" t="s">
        <v>17</v>
      </c>
      <c r="W11" s="674" t="e">
        <f t="shared" si="2"/>
        <v>#N/A</v>
      </c>
      <c r="X11" s="675"/>
      <c r="Y11" s="3159"/>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47"/>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47"/>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47"/>
      <c r="Q14" s="538">
        <f t="shared" si="6"/>
        <v>111</v>
      </c>
      <c r="R14" s="673" t="s">
        <v>17</v>
      </c>
      <c r="S14" s="674">
        <f t="shared" si="0"/>
        <v>100</v>
      </c>
      <c r="T14" s="673" t="s">
        <v>17</v>
      </c>
      <c r="U14" s="674">
        <f t="shared" si="1"/>
        <v>100</v>
      </c>
      <c r="V14" s="673" t="s">
        <v>17</v>
      </c>
      <c r="W14" s="674">
        <f t="shared" si="2"/>
        <v>100</v>
      </c>
      <c r="X14" s="675"/>
      <c r="Y14" s="3159"/>
      <c r="Z14" s="53">
        <f t="shared" si="7"/>
        <v>111</v>
      </c>
      <c r="AA14" s="53">
        <f t="shared" si="3"/>
        <v>1</v>
      </c>
      <c r="AB14" s="53">
        <f t="shared" si="4"/>
        <v>1</v>
      </c>
      <c r="AC14" s="53">
        <f t="shared" si="5"/>
        <v>1</v>
      </c>
    </row>
    <row r="15" spans="1:29" ht="57">
      <c r="A15" s="387" t="s">
        <v>2140</v>
      </c>
      <c r="B15" s="62" t="s">
        <v>2284</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48" t="s">
        <v>2141</v>
      </c>
      <c r="Q15" s="1392" t="str">
        <f t="shared" si="6"/>
        <v>产业集聚程度</v>
      </c>
      <c r="R15" s="676" t="s">
        <v>17</v>
      </c>
      <c r="S15" s="677">
        <f t="shared" si="0"/>
        <v>100</v>
      </c>
      <c r="T15" s="676" t="s">
        <v>17</v>
      </c>
      <c r="U15" s="677">
        <f t="shared" si="1"/>
        <v>100</v>
      </c>
      <c r="V15" s="676" t="s">
        <v>17</v>
      </c>
      <c r="W15" s="677">
        <f t="shared" si="2"/>
        <v>100</v>
      </c>
      <c r="X15" s="1394"/>
      <c r="Y15" s="3248" t="s">
        <v>2141</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249"/>
      <c r="Q16" s="1392"/>
      <c r="R16" s="676"/>
      <c r="S16" s="677"/>
      <c r="T16" s="676"/>
      <c r="U16" s="677"/>
      <c r="V16" s="676"/>
      <c r="W16" s="677"/>
      <c r="X16" s="1394"/>
      <c r="Y16" s="3249"/>
      <c r="Z16" s="1393"/>
      <c r="AA16" s="1393">
        <v>1</v>
      </c>
      <c r="AB16" s="1393">
        <v>1</v>
      </c>
      <c r="AC16" s="1393">
        <v>1</v>
      </c>
    </row>
    <row r="17" spans="1:29" ht="85.5">
      <c r="A17" s="375"/>
      <c r="B17" s="398" t="s">
        <v>1705</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49"/>
      <c r="Q17" s="1392" t="str">
        <f>B17</f>
        <v>交通便捷度</v>
      </c>
      <c r="R17" s="676" t="s">
        <v>17</v>
      </c>
      <c r="S17" s="677">
        <f>F17</f>
        <v>100</v>
      </c>
      <c r="T17" s="676" t="s">
        <v>17</v>
      </c>
      <c r="U17" s="677">
        <f>H17</f>
        <v>100</v>
      </c>
      <c r="V17" s="676" t="s">
        <v>17</v>
      </c>
      <c r="W17" s="677">
        <f>J17</f>
        <v>100</v>
      </c>
      <c r="X17" s="1394"/>
      <c r="Y17" s="3249"/>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249"/>
      <c r="Q18" s="1392"/>
      <c r="R18" s="676"/>
      <c r="S18" s="677"/>
      <c r="T18" s="676"/>
      <c r="U18" s="677"/>
      <c r="V18" s="676"/>
      <c r="W18" s="677"/>
      <c r="X18" s="1394"/>
      <c r="Y18" s="3249"/>
      <c r="Z18" s="1393"/>
      <c r="AA18" s="1393">
        <v>1</v>
      </c>
      <c r="AB18" s="1393">
        <v>1</v>
      </c>
      <c r="AC18" s="1393">
        <v>1</v>
      </c>
    </row>
    <row r="19" spans="1:29" ht="42.75">
      <c r="A19" s="375"/>
      <c r="B19" s="398" t="s">
        <v>2269</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49"/>
      <c r="Q19" s="1392" t="str">
        <f>B19</f>
        <v>公共配套设施</v>
      </c>
      <c r="R19" s="676" t="s">
        <v>17</v>
      </c>
      <c r="S19" s="677">
        <f>F19</f>
        <v>100</v>
      </c>
      <c r="T19" s="676" t="s">
        <v>17</v>
      </c>
      <c r="U19" s="677">
        <f>H19</f>
        <v>100</v>
      </c>
      <c r="V19" s="676" t="s">
        <v>17</v>
      </c>
      <c r="W19" s="677">
        <f>J19</f>
        <v>100</v>
      </c>
      <c r="X19" s="1394"/>
      <c r="Y19" s="3249"/>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249"/>
      <c r="Q20" s="1392"/>
      <c r="R20" s="676"/>
      <c r="S20" s="677"/>
      <c r="T20" s="676"/>
      <c r="U20" s="677"/>
      <c r="V20" s="676"/>
      <c r="W20" s="677"/>
      <c r="X20" s="1394"/>
      <c r="Y20" s="3249"/>
      <c r="Z20" s="1393"/>
      <c r="AA20" s="1393">
        <v>1</v>
      </c>
      <c r="AB20" s="1393">
        <v>1</v>
      </c>
      <c r="AC20" s="1393">
        <v>1</v>
      </c>
    </row>
    <row r="21" spans="1:29" ht="28.5">
      <c r="A21" s="375"/>
      <c r="B21" s="594" t="s">
        <v>2270</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49"/>
      <c r="Q21" s="1392" t="str">
        <f>B21</f>
        <v>基础设施水平</v>
      </c>
      <c r="R21" s="676" t="s">
        <v>17</v>
      </c>
      <c r="S21" s="677">
        <f>F21</f>
        <v>100</v>
      </c>
      <c r="T21" s="676" t="s">
        <v>17</v>
      </c>
      <c r="U21" s="677">
        <f>H21</f>
        <v>100</v>
      </c>
      <c r="V21" s="676" t="s">
        <v>17</v>
      </c>
      <c r="W21" s="677">
        <f>J21</f>
        <v>100</v>
      </c>
      <c r="X21" s="1394"/>
      <c r="Y21" s="3249"/>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977"/>
      <c r="M22" s="968"/>
      <c r="N22" s="968"/>
      <c r="O22" s="976"/>
      <c r="P22" s="3249"/>
      <c r="Q22" s="1392"/>
      <c r="R22" s="676"/>
      <c r="S22" s="677"/>
      <c r="T22" s="676"/>
      <c r="U22" s="677"/>
      <c r="V22" s="676"/>
      <c r="W22" s="677"/>
      <c r="X22" s="1394"/>
      <c r="Y22" s="3249"/>
      <c r="Z22" s="1393"/>
      <c r="AA22" s="1393">
        <v>1</v>
      </c>
      <c r="AB22" s="1393">
        <v>1</v>
      </c>
      <c r="AC22" s="1393">
        <v>1</v>
      </c>
    </row>
    <row r="23" spans="1:29" ht="71.25">
      <c r="A23" s="375"/>
      <c r="B23" s="398" t="s">
        <v>2271</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49"/>
      <c r="Q23" s="1392" t="str">
        <f>B23</f>
        <v>环境质量</v>
      </c>
      <c r="R23" s="676" t="s">
        <v>17</v>
      </c>
      <c r="S23" s="677">
        <f>F23</f>
        <v>100</v>
      </c>
      <c r="T23" s="676" t="s">
        <v>17</v>
      </c>
      <c r="U23" s="677">
        <f>H23</f>
        <v>100</v>
      </c>
      <c r="V23" s="676" t="s">
        <v>17</v>
      </c>
      <c r="W23" s="677">
        <f>J23</f>
        <v>100</v>
      </c>
      <c r="X23" s="1394"/>
      <c r="Y23" s="3249"/>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249"/>
      <c r="Q24" s="1392"/>
      <c r="R24" s="676"/>
      <c r="S24" s="677"/>
      <c r="T24" s="676"/>
      <c r="U24" s="677"/>
      <c r="V24" s="676"/>
      <c r="W24" s="677"/>
      <c r="X24" s="1394"/>
      <c r="Y24" s="3249"/>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49"/>
      <c r="Q25" s="1392">
        <f>B25</f>
        <v>111</v>
      </c>
      <c r="R25" s="676" t="s">
        <v>17</v>
      </c>
      <c r="S25" s="677">
        <f>F25</f>
        <v>100</v>
      </c>
      <c r="T25" s="676" t="s">
        <v>17</v>
      </c>
      <c r="U25" s="677">
        <f>H25</f>
        <v>100</v>
      </c>
      <c r="V25" s="676" t="s">
        <v>17</v>
      </c>
      <c r="W25" s="677">
        <f>J25</f>
        <v>100</v>
      </c>
      <c r="X25" s="1394"/>
      <c r="Y25" s="3249"/>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49"/>
      <c r="Q26" s="1392">
        <f t="shared" ref="Q26:Q40" si="11">B26</f>
        <v>111</v>
      </c>
      <c r="R26" s="676" t="s">
        <v>17</v>
      </c>
      <c r="S26" s="677">
        <f>F26</f>
        <v>100</v>
      </c>
      <c r="T26" s="676" t="s">
        <v>17</v>
      </c>
      <c r="U26" s="677">
        <f>H26</f>
        <v>100</v>
      </c>
      <c r="V26" s="676" t="s">
        <v>17</v>
      </c>
      <c r="W26" s="677">
        <f>J26</f>
        <v>100</v>
      </c>
      <c r="X26" s="1394"/>
      <c r="Y26" s="3249"/>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49"/>
      <c r="Q27" s="538">
        <f t="shared" si="11"/>
        <v>111</v>
      </c>
      <c r="R27" s="673" t="s">
        <v>17</v>
      </c>
      <c r="S27" s="674">
        <f>F27</f>
        <v>100</v>
      </c>
      <c r="T27" s="673" t="s">
        <v>17</v>
      </c>
      <c r="U27" s="674">
        <f>H27</f>
        <v>100</v>
      </c>
      <c r="V27" s="673" t="s">
        <v>17</v>
      </c>
      <c r="W27" s="674">
        <f>J27</f>
        <v>100</v>
      </c>
      <c r="X27" s="675"/>
      <c r="Y27" s="3249"/>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49"/>
      <c r="Q28" s="1392">
        <f t="shared" si="11"/>
        <v>111</v>
      </c>
      <c r="R28" s="676" t="s">
        <v>17</v>
      </c>
      <c r="S28" s="677">
        <f t="shared" ref="S28:S40" si="12">F28</f>
        <v>100</v>
      </c>
      <c r="T28" s="676" t="s">
        <v>17</v>
      </c>
      <c r="U28" s="677">
        <f t="shared" ref="U28:U40" si="13">H28</f>
        <v>100</v>
      </c>
      <c r="V28" s="676" t="s">
        <v>17</v>
      </c>
      <c r="W28" s="677">
        <f t="shared" ref="W28:W40" si="14">J28</f>
        <v>100</v>
      </c>
      <c r="X28" s="1394"/>
      <c r="Y28" s="3249"/>
      <c r="Z28" s="1393">
        <f t="shared" ref="Z28:Z40" si="15">Q28</f>
        <v>111</v>
      </c>
      <c r="AA28" s="1393">
        <f t="shared" si="3"/>
        <v>1</v>
      </c>
      <c r="AB28" s="1393">
        <f t="shared" si="4"/>
        <v>1</v>
      </c>
      <c r="AC28" s="1393">
        <f t="shared" si="5"/>
        <v>1</v>
      </c>
    </row>
    <row r="29" spans="1:29" ht="28.5">
      <c r="A29" s="412" t="s">
        <v>2144</v>
      </c>
      <c r="B29" s="64" t="s">
        <v>2274</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275" t="s">
        <v>2146</v>
      </c>
      <c r="Q29" s="1392" t="str">
        <f t="shared" si="11"/>
        <v>建筑类型</v>
      </c>
      <c r="R29" s="676" t="s">
        <v>17</v>
      </c>
      <c r="S29" s="677">
        <f t="shared" si="12"/>
        <v>100</v>
      </c>
      <c r="T29" s="676" t="s">
        <v>17</v>
      </c>
      <c r="U29" s="677">
        <f t="shared" si="13"/>
        <v>100</v>
      </c>
      <c r="V29" s="676" t="s">
        <v>17</v>
      </c>
      <c r="W29" s="677">
        <f t="shared" si="14"/>
        <v>100</v>
      </c>
      <c r="X29" s="1394"/>
      <c r="Y29" s="3253" t="s">
        <v>2146</v>
      </c>
      <c r="Z29" s="1393" t="str">
        <f t="shared" si="15"/>
        <v>建筑类型</v>
      </c>
      <c r="AA29" s="1393">
        <f t="shared" si="3"/>
        <v>1</v>
      </c>
      <c r="AB29" s="1393">
        <f t="shared" si="4"/>
        <v>1</v>
      </c>
      <c r="AC29" s="1393">
        <f t="shared" si="5"/>
        <v>1</v>
      </c>
    </row>
    <row r="30" spans="1:29" s="416" customFormat="1" ht="15">
      <c r="A30" s="414"/>
      <c r="B30" s="370" t="s">
        <v>2147</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53"/>
      <c r="Q30" s="539" t="str">
        <f t="shared" si="11"/>
        <v>项目建筑规模</v>
      </c>
      <c r="R30" s="678" t="s">
        <v>17</v>
      </c>
      <c r="S30" s="679" t="e">
        <f t="shared" si="12"/>
        <v>#N/A</v>
      </c>
      <c r="T30" s="678" t="s">
        <v>17</v>
      </c>
      <c r="U30" s="679" t="e">
        <f t="shared" si="13"/>
        <v>#N/A</v>
      </c>
      <c r="V30" s="678" t="s">
        <v>17</v>
      </c>
      <c r="W30" s="679" t="e">
        <f t="shared" si="14"/>
        <v>#N/A</v>
      </c>
      <c r="X30" s="680"/>
      <c r="Y30" s="3253"/>
      <c r="Z30" s="681" t="str">
        <f t="shared" si="15"/>
        <v>项目建筑规模</v>
      </c>
      <c r="AA30" s="1393" t="e">
        <f t="shared" si="3"/>
        <v>#N/A</v>
      </c>
      <c r="AB30" s="1393" t="e">
        <f t="shared" si="4"/>
        <v>#N/A</v>
      </c>
      <c r="AC30" s="1393" t="e">
        <f t="shared" si="5"/>
        <v>#N/A</v>
      </c>
    </row>
    <row r="31" spans="1:29" ht="15">
      <c r="A31" s="417"/>
      <c r="B31" s="370" t="s">
        <v>2148</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53"/>
      <c r="Q31" s="1392" t="str">
        <f t="shared" si="11"/>
        <v>建筑结构</v>
      </c>
      <c r="R31" s="676" t="s">
        <v>17</v>
      </c>
      <c r="S31" s="677">
        <f t="shared" si="12"/>
        <v>100</v>
      </c>
      <c r="T31" s="676" t="s">
        <v>17</v>
      </c>
      <c r="U31" s="677">
        <f t="shared" si="13"/>
        <v>100</v>
      </c>
      <c r="V31" s="676" t="s">
        <v>17</v>
      </c>
      <c r="W31" s="677">
        <f t="shared" si="14"/>
        <v>100</v>
      </c>
      <c r="X31" s="1394"/>
      <c r="Y31" s="3253"/>
      <c r="Z31" s="1393" t="str">
        <f t="shared" si="15"/>
        <v>建筑结构</v>
      </c>
      <c r="AA31" s="1393">
        <f t="shared" si="3"/>
        <v>1</v>
      </c>
      <c r="AB31" s="1393">
        <f t="shared" si="4"/>
        <v>1</v>
      </c>
      <c r="AC31" s="1393">
        <f t="shared" si="5"/>
        <v>1</v>
      </c>
    </row>
    <row r="32" spans="1:29" ht="15">
      <c r="A32" s="417"/>
      <c r="B32" s="370" t="s">
        <v>2242</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53"/>
      <c r="Q32" s="1392" t="str">
        <f t="shared" si="11"/>
        <v>公共部分装修</v>
      </c>
      <c r="R32" s="676" t="s">
        <v>17</v>
      </c>
      <c r="S32" s="677">
        <f t="shared" si="12"/>
        <v>100</v>
      </c>
      <c r="T32" s="676" t="s">
        <v>17</v>
      </c>
      <c r="U32" s="677">
        <f t="shared" si="13"/>
        <v>100</v>
      </c>
      <c r="V32" s="676" t="s">
        <v>17</v>
      </c>
      <c r="W32" s="677">
        <f t="shared" si="14"/>
        <v>100</v>
      </c>
      <c r="X32" s="1394"/>
      <c r="Y32" s="3253"/>
      <c r="Z32" s="1393" t="str">
        <f t="shared" si="15"/>
        <v>公共部分装修</v>
      </c>
      <c r="AA32" s="1393">
        <f t="shared" si="3"/>
        <v>1</v>
      </c>
      <c r="AB32" s="1393">
        <f t="shared" si="4"/>
        <v>1</v>
      </c>
      <c r="AC32" s="1393">
        <f t="shared" si="5"/>
        <v>1</v>
      </c>
    </row>
    <row r="33" spans="1:29" ht="15">
      <c r="A33" s="417"/>
      <c r="B33" s="370" t="s">
        <v>2243</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53"/>
      <c r="Q33" s="1392" t="str">
        <f t="shared" si="11"/>
        <v>成新度</v>
      </c>
      <c r="R33" s="676" t="s">
        <v>17</v>
      </c>
      <c r="S33" s="677" t="e">
        <f t="shared" si="12"/>
        <v>#N/A</v>
      </c>
      <c r="T33" s="676" t="s">
        <v>17</v>
      </c>
      <c r="U33" s="677" t="e">
        <f t="shared" si="13"/>
        <v>#N/A</v>
      </c>
      <c r="V33" s="676" t="s">
        <v>17</v>
      </c>
      <c r="W33" s="677" t="e">
        <f t="shared" si="14"/>
        <v>#N/A</v>
      </c>
      <c r="X33" s="1394"/>
      <c r="Y33" s="3253"/>
      <c r="Z33" s="1393" t="str">
        <f t="shared" si="15"/>
        <v>成新度</v>
      </c>
      <c r="AA33" s="1393" t="e">
        <f t="shared" si="3"/>
        <v>#N/A</v>
      </c>
      <c r="AB33" s="1393" t="e">
        <f t="shared" si="4"/>
        <v>#N/A</v>
      </c>
      <c r="AC33" s="1393" t="e">
        <f t="shared" si="5"/>
        <v>#N/A</v>
      </c>
    </row>
    <row r="34" spans="1:29" s="107" customFormat="1" ht="15">
      <c r="A34" s="418"/>
      <c r="B34" s="370" t="s">
        <v>2276</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53"/>
      <c r="Q34" s="538" t="str">
        <f t="shared" si="11"/>
        <v>物业管理</v>
      </c>
      <c r="R34" s="673" t="s">
        <v>17</v>
      </c>
      <c r="S34" s="674">
        <f t="shared" si="12"/>
        <v>100</v>
      </c>
      <c r="T34" s="673" t="s">
        <v>17</v>
      </c>
      <c r="U34" s="674">
        <f t="shared" si="13"/>
        <v>100</v>
      </c>
      <c r="V34" s="673" t="s">
        <v>17</v>
      </c>
      <c r="W34" s="674">
        <f t="shared" si="14"/>
        <v>100</v>
      </c>
      <c r="X34" s="675"/>
      <c r="Y34" s="3253"/>
      <c r="Z34" s="53" t="str">
        <f t="shared" si="15"/>
        <v>物业管理</v>
      </c>
      <c r="AA34" s="53">
        <f t="shared" si="3"/>
        <v>1</v>
      </c>
      <c r="AB34" s="53">
        <f t="shared" si="4"/>
        <v>1</v>
      </c>
      <c r="AC34" s="53">
        <f t="shared" si="5"/>
        <v>1</v>
      </c>
    </row>
    <row r="35" spans="1:29" ht="15">
      <c r="A35" s="417"/>
      <c r="B35" s="370" t="s">
        <v>2244</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53" t="s">
        <v>2146</v>
      </c>
      <c r="Q35" s="1392" t="str">
        <f t="shared" si="11"/>
        <v>市政基础设施</v>
      </c>
      <c r="R35" s="676" t="s">
        <v>17</v>
      </c>
      <c r="S35" s="677">
        <f t="shared" si="12"/>
        <v>100</v>
      </c>
      <c r="T35" s="676" t="s">
        <v>17</v>
      </c>
      <c r="U35" s="677">
        <f t="shared" si="13"/>
        <v>100</v>
      </c>
      <c r="V35" s="676" t="s">
        <v>17</v>
      </c>
      <c r="W35" s="677">
        <f t="shared" si="14"/>
        <v>100</v>
      </c>
      <c r="X35" s="1394"/>
      <c r="Y35" s="3253" t="s">
        <v>2146</v>
      </c>
      <c r="Z35" s="1393" t="str">
        <f t="shared" si="15"/>
        <v>市政基础设施</v>
      </c>
      <c r="AA35" s="1393">
        <f t="shared" si="3"/>
        <v>1</v>
      </c>
      <c r="AB35" s="1393">
        <f t="shared" si="4"/>
        <v>1</v>
      </c>
      <c r="AC35" s="1393">
        <f t="shared" si="5"/>
        <v>1</v>
      </c>
    </row>
    <row r="36" spans="1:29" ht="15">
      <c r="A36" s="417"/>
      <c r="B36" s="370" t="s">
        <v>2249</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53"/>
      <c r="Q36" s="1392" t="str">
        <f t="shared" si="11"/>
        <v>内部装修</v>
      </c>
      <c r="R36" s="676" t="s">
        <v>17</v>
      </c>
      <c r="S36" s="677">
        <f t="shared" si="12"/>
        <v>100</v>
      </c>
      <c r="T36" s="676" t="s">
        <v>17</v>
      </c>
      <c r="U36" s="677">
        <f t="shared" si="13"/>
        <v>100</v>
      </c>
      <c r="V36" s="676" t="s">
        <v>17</v>
      </c>
      <c r="W36" s="677">
        <f t="shared" si="14"/>
        <v>100</v>
      </c>
      <c r="X36" s="1394"/>
      <c r="Y36" s="3253"/>
      <c r="Z36" s="1393" t="str">
        <f t="shared" si="15"/>
        <v>内部装修</v>
      </c>
      <c r="AA36" s="1393">
        <f t="shared" si="3"/>
        <v>1</v>
      </c>
      <c r="AB36" s="1393">
        <f t="shared" si="4"/>
        <v>1</v>
      </c>
      <c r="AC36" s="1393">
        <f t="shared" si="5"/>
        <v>1</v>
      </c>
    </row>
    <row r="37" spans="1:29" ht="15">
      <c r="A37" s="417"/>
      <c r="B37" s="370" t="s">
        <v>2285</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53"/>
      <c r="Q37" s="1392" t="str">
        <f t="shared" si="11"/>
        <v>内部装修状况</v>
      </c>
      <c r="R37" s="676" t="s">
        <v>17</v>
      </c>
      <c r="S37" s="677">
        <f t="shared" si="12"/>
        <v>100</v>
      </c>
      <c r="T37" s="676" t="s">
        <v>17</v>
      </c>
      <c r="U37" s="677">
        <f t="shared" si="13"/>
        <v>100</v>
      </c>
      <c r="V37" s="676" t="s">
        <v>17</v>
      </c>
      <c r="W37" s="677">
        <f t="shared" si="14"/>
        <v>100</v>
      </c>
      <c r="X37" s="1394"/>
      <c r="Y37" s="3253"/>
      <c r="Z37" s="1393" t="str">
        <f t="shared" si="15"/>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53"/>
      <c r="Q38" s="539">
        <f t="shared" si="11"/>
        <v>111</v>
      </c>
      <c r="R38" s="678" t="s">
        <v>17</v>
      </c>
      <c r="S38" s="679">
        <f t="shared" si="12"/>
        <v>100</v>
      </c>
      <c r="T38" s="678" t="s">
        <v>17</v>
      </c>
      <c r="U38" s="679">
        <f t="shared" si="13"/>
        <v>100</v>
      </c>
      <c r="V38" s="678" t="s">
        <v>17</v>
      </c>
      <c r="W38" s="679">
        <f t="shared" si="14"/>
        <v>100</v>
      </c>
      <c r="X38" s="680"/>
      <c r="Y38" s="3253"/>
      <c r="Z38" s="681">
        <f t="shared" si="15"/>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53"/>
      <c r="Q39" s="1392">
        <f t="shared" si="11"/>
        <v>111</v>
      </c>
      <c r="R39" s="676" t="s">
        <v>17</v>
      </c>
      <c r="S39" s="677">
        <f t="shared" si="12"/>
        <v>100</v>
      </c>
      <c r="T39" s="676" t="s">
        <v>17</v>
      </c>
      <c r="U39" s="677">
        <f t="shared" si="13"/>
        <v>100</v>
      </c>
      <c r="V39" s="676" t="s">
        <v>17</v>
      </c>
      <c r="W39" s="677">
        <f t="shared" si="14"/>
        <v>100</v>
      </c>
      <c r="X39" s="1394"/>
      <c r="Y39" s="3253"/>
      <c r="Z39" s="1393">
        <f t="shared" si="15"/>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54"/>
      <c r="Q40" s="1392">
        <f t="shared" si="11"/>
        <v>111</v>
      </c>
      <c r="R40" s="676" t="s">
        <v>17</v>
      </c>
      <c r="S40" s="677">
        <f t="shared" si="12"/>
        <v>100</v>
      </c>
      <c r="T40" s="676" t="s">
        <v>17</v>
      </c>
      <c r="U40" s="677">
        <f t="shared" si="13"/>
        <v>100</v>
      </c>
      <c r="V40" s="676" t="s">
        <v>17</v>
      </c>
      <c r="W40" s="677">
        <f t="shared" si="14"/>
        <v>100</v>
      </c>
      <c r="X40" s="1394"/>
      <c r="Y40" s="3254"/>
      <c r="Z40" s="1393">
        <f t="shared" si="15"/>
        <v>111</v>
      </c>
      <c r="AA40" s="1393">
        <f t="shared" si="3"/>
        <v>1</v>
      </c>
      <c r="AB40" s="1393">
        <f t="shared" si="4"/>
        <v>1</v>
      </c>
      <c r="AC40" s="1393">
        <f t="shared" si="5"/>
        <v>1</v>
      </c>
    </row>
    <row r="41" spans="1:29" ht="15">
      <c r="A41" s="424" t="s">
        <v>2158</v>
      </c>
      <c r="B41" s="425"/>
      <c r="C41" s="1191" t="s">
        <v>1</v>
      </c>
      <c r="D41" s="426"/>
      <c r="E41" s="427"/>
      <c r="F41" s="428"/>
      <c r="G41" s="429"/>
      <c r="H41" s="430"/>
      <c r="I41" s="427"/>
      <c r="J41" s="430"/>
      <c r="K41" s="683"/>
      <c r="L41" s="980"/>
      <c r="M41" s="968"/>
      <c r="N41" s="968"/>
      <c r="O41" s="968"/>
      <c r="P41" s="3247" t="str">
        <f>A41</f>
        <v>成交单价（元/平方米）</v>
      </c>
      <c r="Q41" s="3247"/>
      <c r="R41" s="3242">
        <f>E41</f>
        <v>0</v>
      </c>
      <c r="S41" s="3242"/>
      <c r="T41" s="3242">
        <f>G41</f>
        <v>0</v>
      </c>
      <c r="U41" s="3242"/>
      <c r="V41" s="3242">
        <f>I41</f>
        <v>0</v>
      </c>
      <c r="W41" s="3242"/>
      <c r="X41" s="393"/>
      <c r="Y41" s="682"/>
      <c r="Z41" s="393"/>
      <c r="AA41" s="393"/>
      <c r="AB41" s="393"/>
      <c r="AC41" s="393"/>
    </row>
    <row r="42" spans="1:29" ht="15.75" thickBot="1">
      <c r="A42" s="431" t="s">
        <v>2250</v>
      </c>
      <c r="B42" s="432"/>
      <c r="C42" s="1192" t="e">
        <f>R43</f>
        <v>#DIV/0!</v>
      </c>
      <c r="D42" s="2301" t="s">
        <v>2640</v>
      </c>
      <c r="E42" s="1193" t="e">
        <f>R42</f>
        <v>#DIV/0!</v>
      </c>
      <c r="F42" s="2302"/>
      <c r="G42" s="1192" t="e">
        <f>T42</f>
        <v>#DIV/0!</v>
      </c>
      <c r="H42" s="2302"/>
      <c r="I42" s="1193" t="e">
        <f>V42</f>
        <v>#DIV/0!</v>
      </c>
      <c r="J42" s="2302"/>
      <c r="K42" s="2304">
        <f>F42+H42+J42</f>
        <v>0</v>
      </c>
      <c r="L42" s="980"/>
      <c r="M42" s="968"/>
      <c r="N42" s="968"/>
      <c r="O42" s="968"/>
      <c r="P42" s="3247" t="str">
        <f>A42</f>
        <v>比较价值（元/平方米）</v>
      </c>
      <c r="Q42" s="3247"/>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393"/>
      <c r="Y42" s="393"/>
      <c r="Z42" s="393"/>
      <c r="AA42" s="393"/>
      <c r="AB42" s="393"/>
      <c r="AC42" s="393"/>
    </row>
    <row r="43" spans="1:29" ht="15.75" thickBot="1">
      <c r="A43" s="435" t="s">
        <v>2251</v>
      </c>
      <c r="B43" s="436"/>
      <c r="C43" s="357" t="e">
        <f>R43</f>
        <v>#DIV/0!</v>
      </c>
      <c r="D43" s="357"/>
      <c r="E43" s="357"/>
      <c r="F43" s="357"/>
      <c r="G43" s="357"/>
      <c r="H43" s="357"/>
      <c r="I43" s="357"/>
      <c r="J43" s="357"/>
      <c r="K43" s="684"/>
      <c r="L43" s="980"/>
      <c r="M43" s="968"/>
      <c r="N43" s="968"/>
      <c r="O43" s="968"/>
      <c r="P43" s="3244" t="str">
        <f>A43</f>
        <v>估价对象XX用房的比较价值（楼面单价，元/平方米）</v>
      </c>
      <c r="Q43" s="3245"/>
      <c r="R43" s="3246" t="e">
        <f>IF(F1="售价",ROUND(IF(D42="简单平均",AVERAGE(R42:V42),R42*F42+T42*H42+V42*J42),0),ROUND(IF(D42="简单平均",AVERAGE(R42:V42),R42*F42+T42*H42+V42*J42),1))</f>
        <v>#DIV/0!</v>
      </c>
      <c r="S43" s="3246"/>
      <c r="T43" s="3246"/>
      <c r="U43" s="3246"/>
      <c r="V43" s="3246"/>
      <c r="W43" s="3246"/>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75" thickBot="1">
      <c r="A51" s="667" t="s">
        <v>2255</v>
      </c>
      <c r="B51" s="393"/>
      <c r="C51" s="668"/>
      <c r="D51" s="668"/>
      <c r="E51" s="668"/>
      <c r="F51" s="669"/>
      <c r="G51" s="669"/>
      <c r="H51" s="668"/>
      <c r="I51" s="668"/>
      <c r="J51" s="668"/>
      <c r="K51" s="994"/>
      <c r="L51" s="995"/>
      <c r="M51" s="993"/>
      <c r="N51" s="993"/>
      <c r="O51" s="993"/>
      <c r="P51" s="446"/>
      <c r="Q51" s="447"/>
    </row>
    <row r="52" spans="1:17" s="450" customFormat="1" ht="15">
      <c r="A52" s="448" t="s">
        <v>2129</v>
      </c>
      <c r="B52" s="449"/>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2166</v>
      </c>
      <c r="B54" s="458"/>
      <c r="C54" s="459"/>
      <c r="D54" s="460"/>
      <c r="E54" s="460"/>
      <c r="F54" s="460"/>
      <c r="G54" s="460"/>
      <c r="H54" s="460"/>
      <c r="I54" s="460"/>
      <c r="J54" s="460"/>
      <c r="K54" s="460"/>
      <c r="L54" s="460"/>
      <c r="M54" s="461"/>
      <c r="N54" s="2705"/>
      <c r="O54" s="2706"/>
      <c r="P54" s="447"/>
      <c r="Q54" s="447"/>
    </row>
    <row r="55" spans="1:17" s="107" customFormat="1" ht="15">
      <c r="A55" s="463" t="s">
        <v>2131</v>
      </c>
      <c r="B55" s="452"/>
      <c r="C55" s="464" t="s">
        <v>2233</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2169</v>
      </c>
      <c r="B57" s="468" t="s">
        <v>2135</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2138</v>
      </c>
      <c r="C59" s="478" t="s">
        <v>2170</v>
      </c>
      <c r="D59" s="478" t="s">
        <v>2171</v>
      </c>
      <c r="E59" s="478" t="s">
        <v>2172</v>
      </c>
      <c r="F59" s="478" t="s">
        <v>2173</v>
      </c>
      <c r="G59" s="478" t="s">
        <v>2174</v>
      </c>
      <c r="H59" s="478" t="s">
        <v>2175</v>
      </c>
      <c r="I59" s="478" t="s">
        <v>2176</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2139</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2140</v>
      </c>
      <c r="B70" s="468" t="s">
        <v>2286</v>
      </c>
      <c r="C70" s="512" t="s">
        <v>2178</v>
      </c>
      <c r="D70" s="512" t="s">
        <v>2179</v>
      </c>
      <c r="E70" s="512" t="s">
        <v>2180</v>
      </c>
      <c r="F70" s="512" t="s">
        <v>2181</v>
      </c>
      <c r="G70" s="512" t="s">
        <v>2182</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2183</v>
      </c>
      <c r="C72" s="517" t="s">
        <v>2178</v>
      </c>
      <c r="D72" s="517" t="s">
        <v>2179</v>
      </c>
      <c r="E72" s="517" t="s">
        <v>2180</v>
      </c>
      <c r="F72" s="517" t="s">
        <v>2181</v>
      </c>
      <c r="G72" s="517" t="s">
        <v>2182</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2184</v>
      </c>
      <c r="C74" s="517" t="s">
        <v>2178</v>
      </c>
      <c r="D74" s="517" t="s">
        <v>2179</v>
      </c>
      <c r="E74" s="517" t="s">
        <v>2180</v>
      </c>
      <c r="F74" s="517" t="s">
        <v>2181</v>
      </c>
      <c r="G74" s="517" t="s">
        <v>2182</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2270</v>
      </c>
      <c r="C76" s="589" t="s">
        <v>2256</v>
      </c>
      <c r="D76" s="589" t="s">
        <v>2257</v>
      </c>
      <c r="E76" s="589" t="s">
        <v>2258</v>
      </c>
      <c r="F76" s="589" t="s">
        <v>2259</v>
      </c>
      <c r="G76" s="589" t="s">
        <v>2260</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2279</v>
      </c>
      <c r="C78" s="517" t="s">
        <v>2178</v>
      </c>
      <c r="D78" s="517" t="s">
        <v>2179</v>
      </c>
      <c r="E78" s="517" t="s">
        <v>2180</v>
      </c>
      <c r="F78" s="517" t="s">
        <v>2181</v>
      </c>
      <c r="G78" s="517" t="s">
        <v>2182</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2144</v>
      </c>
      <c r="B88" s="468" t="s">
        <v>2193</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75" thickTop="1">
      <c r="A90" s="375"/>
      <c r="B90" s="477" t="s">
        <v>2194</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2195</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2197</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2198</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2199</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2201</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2287</v>
      </c>
      <c r="C106" s="517" t="s">
        <v>2178</v>
      </c>
      <c r="D106" s="517" t="s">
        <v>2179</v>
      </c>
      <c r="E106" s="517" t="s">
        <v>2180</v>
      </c>
      <c r="F106" s="517" t="s">
        <v>2181</v>
      </c>
      <c r="G106" s="517" t="s">
        <v>2182</v>
      </c>
      <c r="H106" s="478"/>
      <c r="I106" s="478"/>
      <c r="J106" s="478"/>
      <c r="K106" s="479"/>
      <c r="L106" s="480"/>
      <c r="M106" s="481"/>
      <c r="N106" s="987"/>
      <c r="O106" s="987"/>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38" customWidth="1"/>
    <col min="12" max="12" width="12.125" style="439" customWidth="1"/>
    <col min="13" max="15" width="12.125" style="353" customWidth="1"/>
    <col min="16" max="16" width="4.875" style="96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2288</v>
      </c>
      <c r="B1" s="1255"/>
      <c r="C1" s="1256" t="s">
        <v>2111</v>
      </c>
      <c r="D1" s="1257"/>
      <c r="E1" s="1258"/>
      <c r="F1" s="1865"/>
      <c r="G1" s="1259" t="s">
        <v>2224</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1908</v>
      </c>
      <c r="B2" s="1195" t="e">
        <f ca="1">IF(C2="——",IF(B37="元/平方米",ROUND(C39*D3/10000,0),ROUND(F3*C39/10000,0)),IF(B37="元/平方米",ROUND(C39*D3/10000,0),ROUND(F3*C39/10000,0))-D2)</f>
        <v>#DIV/0!</v>
      </c>
      <c r="C2" s="1867"/>
      <c r="D2" s="961" t="e">
        <f ca="1">SUMIF(INDIRECT("'"&amp;F2&amp;"'"&amp;"!A:A"),"承租人权益价值",INDIRECT("'"&amp;F2&amp;"'"&amp;"!c:c"))</f>
        <v>#REF!</v>
      </c>
      <c r="E2" s="1868" t="s">
        <v>1909</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2225</v>
      </c>
      <c r="D3" s="349">
        <f>SUMIF('数据-汇总表'!$C19:$C33,D1,'数据-汇总表'!$E19:$E33)</f>
        <v>0</v>
      </c>
      <c r="E3" s="350" t="s">
        <v>2289</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17" t="s">
        <v>2228</v>
      </c>
      <c r="S4" s="3218"/>
      <c r="T4" s="3217" t="s">
        <v>2229</v>
      </c>
      <c r="U4" s="3218"/>
      <c r="V4" s="3242" t="s">
        <v>2230</v>
      </c>
      <c r="W4" s="3242"/>
      <c r="X4" s="1394"/>
      <c r="Y4" s="3217" t="s">
        <v>2232</v>
      </c>
      <c r="Z4" s="3218"/>
      <c r="AA4" s="3212" t="s">
        <v>2228</v>
      </c>
      <c r="AB4" s="3213" t="s">
        <v>2229</v>
      </c>
      <c r="AC4" s="3212" t="s">
        <v>2230</v>
      </c>
    </row>
    <row r="5" spans="1:29" ht="15">
      <c r="A5" s="354"/>
      <c r="B5" s="355"/>
      <c r="C5" s="3223" t="s">
        <v>2123</v>
      </c>
      <c r="D5" s="3224"/>
      <c r="E5" s="3221" t="s">
        <v>2124</v>
      </c>
      <c r="F5" s="3222"/>
      <c r="G5" s="3223" t="s">
        <v>2125</v>
      </c>
      <c r="H5" s="3224"/>
      <c r="I5" s="3223" t="s">
        <v>2126</v>
      </c>
      <c r="J5" s="3224"/>
      <c r="K5" s="545"/>
      <c r="L5" s="2653"/>
      <c r="M5" s="2654"/>
      <c r="N5" s="2654"/>
      <c r="O5" s="2654"/>
      <c r="P5" s="3236"/>
      <c r="Q5" s="3237"/>
      <c r="R5" s="3219"/>
      <c r="S5" s="3220"/>
      <c r="T5" s="3219"/>
      <c r="U5" s="3220"/>
      <c r="V5" s="3242"/>
      <c r="W5" s="3242"/>
      <c r="X5" s="1394"/>
      <c r="Y5" s="3219"/>
      <c r="Z5" s="3220"/>
      <c r="AA5" s="3213"/>
      <c r="AB5" s="3213"/>
      <c r="AC5" s="3213"/>
    </row>
    <row r="6" spans="1:29" ht="15.75" thickBot="1">
      <c r="A6" s="356"/>
      <c r="B6" s="357"/>
      <c r="C6" s="3225" t="s">
        <v>2127</v>
      </c>
      <c r="D6" s="3226"/>
      <c r="E6" s="3227" t="s">
        <v>2127</v>
      </c>
      <c r="F6" s="3228"/>
      <c r="G6" s="3225" t="s">
        <v>2127</v>
      </c>
      <c r="H6" s="3226"/>
      <c r="I6" s="3225" t="s">
        <v>2127</v>
      </c>
      <c r="J6" s="3226"/>
      <c r="K6" s="545" t="s">
        <v>2128</v>
      </c>
      <c r="L6" s="2653"/>
      <c r="M6" s="2654"/>
      <c r="N6" s="2654"/>
      <c r="O6" s="2654"/>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SUMIF(48:48,YEAR(E7)&amp;"-"&amp;MONTH(E7),49:49)</f>
        <v>0</v>
      </c>
      <c r="G7" s="362"/>
      <c r="H7" s="361">
        <f>SUMIF(48:48,YEAR(G7)&amp;"-"&amp;MONTH(G7),49:49)</f>
        <v>0</v>
      </c>
      <c r="I7" s="362"/>
      <c r="J7" s="361">
        <f>SUMIF(48:48,YEAR(I7)&amp;"-"&amp;MONTH(I7),49:49)</f>
        <v>0</v>
      </c>
      <c r="K7" s="41"/>
      <c r="L7" s="2655"/>
      <c r="M7" s="2606"/>
      <c r="N7" s="2606"/>
      <c r="O7" s="2606"/>
      <c r="P7" s="3215" t="s">
        <v>2130</v>
      </c>
      <c r="Q7" s="3243"/>
      <c r="R7" s="673" t="s">
        <v>17</v>
      </c>
      <c r="S7" s="674">
        <f t="shared" ref="S7:S14" si="0">F7</f>
        <v>0</v>
      </c>
      <c r="T7" s="673" t="s">
        <v>17</v>
      </c>
      <c r="U7" s="674">
        <f t="shared" ref="U7:U14" si="1">H7</f>
        <v>0</v>
      </c>
      <c r="V7" s="673" t="s">
        <v>17</v>
      </c>
      <c r="W7" s="674">
        <f t="shared" ref="W7:W14" si="2">J7</f>
        <v>0</v>
      </c>
      <c r="X7" s="675"/>
      <c r="Y7" s="3215" t="s">
        <v>2130</v>
      </c>
      <c r="Z7" s="3216"/>
      <c r="AA7" s="53" t="e">
        <f>D7/F7</f>
        <v>#DIV/0!</v>
      </c>
      <c r="AB7" s="53" t="e">
        <f>D7/H7</f>
        <v>#DIV/0!</v>
      </c>
      <c r="AC7" s="53" t="e">
        <f>D7/J7</f>
        <v>#DIV/0!</v>
      </c>
    </row>
    <row r="8" spans="1:29" s="107" customFormat="1" ht="15.75" thickBot="1">
      <c r="A8" s="358" t="s">
        <v>2131</v>
      </c>
      <c r="B8" s="359"/>
      <c r="C8" s="364" t="s">
        <v>2233</v>
      </c>
      <c r="D8" s="361">
        <v>100</v>
      </c>
      <c r="E8" s="364"/>
      <c r="F8" s="363">
        <f>SUMIF(51:51,E8,52:52)-SUMIF(51:51,C8,52:52)+100</f>
        <v>0</v>
      </c>
      <c r="G8" s="364"/>
      <c r="H8" s="361">
        <f>SUMIF(51:51,G8,52:52)-SUMIF(51:51,C8,52:52)+100</f>
        <v>0</v>
      </c>
      <c r="I8" s="364"/>
      <c r="J8" s="361">
        <f>SUMIF(51:51,I8,52:52)-SUMIF(51:51,C8,52:52)+100</f>
        <v>0</v>
      </c>
      <c r="K8" s="41"/>
      <c r="L8" s="2655"/>
      <c r="M8" s="2606"/>
      <c r="N8" s="2606"/>
      <c r="O8" s="2606"/>
      <c r="P8" s="3215" t="s">
        <v>2133</v>
      </c>
      <c r="Q8" s="3216"/>
      <c r="R8" s="673" t="s">
        <v>17</v>
      </c>
      <c r="S8" s="674">
        <f t="shared" si="0"/>
        <v>0</v>
      </c>
      <c r="T8" s="673" t="s">
        <v>17</v>
      </c>
      <c r="U8" s="674">
        <f t="shared" si="1"/>
        <v>0</v>
      </c>
      <c r="V8" s="673" t="s">
        <v>17</v>
      </c>
      <c r="W8" s="674">
        <f t="shared" si="2"/>
        <v>0</v>
      </c>
      <c r="X8" s="675"/>
      <c r="Y8" s="3215" t="s">
        <v>2133</v>
      </c>
      <c r="Z8" s="3216"/>
      <c r="AA8" s="53" t="e">
        <f t="shared" ref="AA8:AA36" si="3">D8/F8</f>
        <v>#DIV/0!</v>
      </c>
      <c r="AB8" s="53" t="e">
        <f t="shared" ref="AB8:AB36" si="4">D8/H8</f>
        <v>#DIV/0!</v>
      </c>
      <c r="AC8" s="53" t="e">
        <f t="shared" ref="AC8:AC36" si="5">D8/J8</f>
        <v>#DIV/0!</v>
      </c>
    </row>
    <row r="9" spans="1:29" s="107" customFormat="1">
      <c r="A9" s="61" t="s">
        <v>2134</v>
      </c>
      <c r="B9" s="572" t="s">
        <v>2135</v>
      </c>
      <c r="C9" s="366"/>
      <c r="D9" s="63">
        <v>100</v>
      </c>
      <c r="E9" s="368"/>
      <c r="F9" s="63">
        <f>SUMIF(53:53,E9,54:54)-SUMIF(53:53,C9,54:54)+100</f>
        <v>100</v>
      </c>
      <c r="G9" s="367"/>
      <c r="H9" s="63">
        <f>SUMIF(53:53,G9,54:54)-SUMIF(53:53,C9,54:54)+100</f>
        <v>100</v>
      </c>
      <c r="I9" s="367"/>
      <c r="J9" s="63">
        <f>SUMIF(53:53,I9,54:54)-SUMIF(53:53,C9,54:54)+100</f>
        <v>100</v>
      </c>
      <c r="K9" s="41"/>
      <c r="L9" s="2655"/>
      <c r="M9" s="2606"/>
      <c r="N9" s="2606"/>
      <c r="O9" s="2606"/>
      <c r="P9" s="3247" t="s">
        <v>2136</v>
      </c>
      <c r="Q9" s="538" t="str">
        <f t="shared" ref="Q9:Q14" si="6">B9</f>
        <v>用途</v>
      </c>
      <c r="R9" s="673" t="s">
        <v>17</v>
      </c>
      <c r="S9" s="674">
        <f t="shared" si="0"/>
        <v>100</v>
      </c>
      <c r="T9" s="673" t="s">
        <v>17</v>
      </c>
      <c r="U9" s="674">
        <f t="shared" si="1"/>
        <v>100</v>
      </c>
      <c r="V9" s="673" t="s">
        <v>17</v>
      </c>
      <c r="W9" s="674">
        <f t="shared" si="2"/>
        <v>100</v>
      </c>
      <c r="X9" s="675"/>
      <c r="Y9" s="3159" t="s">
        <v>2137</v>
      </c>
      <c r="Z9" s="53" t="str">
        <f t="shared" ref="Z9:Z14" si="7">Q9</f>
        <v>用途</v>
      </c>
      <c r="AA9" s="53">
        <f t="shared" si="3"/>
        <v>1</v>
      </c>
      <c r="AB9" s="53">
        <f t="shared" si="4"/>
        <v>1</v>
      </c>
      <c r="AC9" s="53">
        <f t="shared" si="5"/>
        <v>1</v>
      </c>
    </row>
    <row r="10" spans="1:29" s="374" customFormat="1" ht="27">
      <c r="A10" s="573"/>
      <c r="B10" s="574" t="s">
        <v>2138</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47"/>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47"/>
      <c r="Q11" s="538">
        <f t="shared" si="6"/>
        <v>111</v>
      </c>
      <c r="R11" s="673" t="s">
        <v>17</v>
      </c>
      <c r="S11" s="674">
        <f t="shared" si="0"/>
        <v>100</v>
      </c>
      <c r="T11" s="673" t="s">
        <v>17</v>
      </c>
      <c r="U11" s="674">
        <f t="shared" si="1"/>
        <v>100</v>
      </c>
      <c r="V11" s="673" t="s">
        <v>17</v>
      </c>
      <c r="W11" s="674">
        <f t="shared" si="2"/>
        <v>100</v>
      </c>
      <c r="X11" s="675"/>
      <c r="Y11" s="3159"/>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6"/>
      <c r="N12" s="2606"/>
      <c r="O12" s="2606"/>
      <c r="P12" s="3247"/>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47"/>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53">
        <f t="shared" si="5"/>
        <v>1</v>
      </c>
    </row>
    <row r="14" spans="1:29" ht="85.5">
      <c r="A14" s="351" t="s">
        <v>2140</v>
      </c>
      <c r="B14" s="562" t="s">
        <v>2290</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48" t="s">
        <v>2141</v>
      </c>
      <c r="Q14" s="1392" t="str">
        <f t="shared" si="6"/>
        <v>交通便捷度</v>
      </c>
      <c r="R14" s="676" t="s">
        <v>17</v>
      </c>
      <c r="S14" s="677">
        <f t="shared" si="0"/>
        <v>100</v>
      </c>
      <c r="T14" s="676" t="s">
        <v>17</v>
      </c>
      <c r="U14" s="677">
        <f t="shared" si="1"/>
        <v>100</v>
      </c>
      <c r="V14" s="676" t="s">
        <v>17</v>
      </c>
      <c r="W14" s="677">
        <f t="shared" si="2"/>
        <v>100</v>
      </c>
      <c r="X14" s="1394"/>
      <c r="Y14" s="3248" t="s">
        <v>2141</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9"/>
      <c r="M15" s="2654"/>
      <c r="N15" s="2654"/>
      <c r="O15" s="2654"/>
      <c r="P15" s="3249"/>
      <c r="Q15" s="1392"/>
      <c r="R15" s="676"/>
      <c r="S15" s="677"/>
      <c r="T15" s="676"/>
      <c r="U15" s="677"/>
      <c r="V15" s="676"/>
      <c r="W15" s="677"/>
      <c r="X15" s="1394"/>
      <c r="Y15" s="3249"/>
      <c r="Z15" s="1393"/>
      <c r="AA15" s="1393">
        <v>1</v>
      </c>
      <c r="AB15" s="1393">
        <v>1</v>
      </c>
      <c r="AC15" s="1393">
        <v>1</v>
      </c>
    </row>
    <row r="16" spans="1:29" ht="42.75">
      <c r="A16" s="354"/>
      <c r="B16" s="564" t="s">
        <v>2269</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49"/>
      <c r="Q16" s="1392" t="str">
        <f>B16</f>
        <v>公共配套设施</v>
      </c>
      <c r="R16" s="676" t="s">
        <v>17</v>
      </c>
      <c r="S16" s="677">
        <f>F16</f>
        <v>100</v>
      </c>
      <c r="T16" s="676" t="s">
        <v>17</v>
      </c>
      <c r="U16" s="677">
        <f>H16</f>
        <v>100</v>
      </c>
      <c r="V16" s="676" t="s">
        <v>17</v>
      </c>
      <c r="W16" s="677">
        <f>J16</f>
        <v>100</v>
      </c>
      <c r="X16" s="1394"/>
      <c r="Y16" s="3249"/>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9"/>
      <c r="M17" s="2654"/>
      <c r="N17" s="2654"/>
      <c r="O17" s="2654"/>
      <c r="P17" s="3249"/>
      <c r="Q17" s="1392"/>
      <c r="R17" s="676"/>
      <c r="S17" s="677"/>
      <c r="T17" s="676"/>
      <c r="U17" s="677"/>
      <c r="V17" s="676"/>
      <c r="W17" s="677"/>
      <c r="X17" s="1394"/>
      <c r="Y17" s="3249"/>
      <c r="Z17" s="1393"/>
      <c r="AA17" s="1393">
        <v>1</v>
      </c>
      <c r="AB17" s="1393">
        <v>1</v>
      </c>
      <c r="AC17" s="1393">
        <v>1</v>
      </c>
    </row>
    <row r="18" spans="1:29" ht="28.5">
      <c r="A18" s="354"/>
      <c r="B18" s="565" t="s">
        <v>2270</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49"/>
      <c r="Q18" s="1392" t="str">
        <f>B18</f>
        <v>基础设施水平</v>
      </c>
      <c r="R18" s="676" t="s">
        <v>17</v>
      </c>
      <c r="S18" s="677">
        <f>F18</f>
        <v>100</v>
      </c>
      <c r="T18" s="676" t="s">
        <v>17</v>
      </c>
      <c r="U18" s="677">
        <f>H18</f>
        <v>100</v>
      </c>
      <c r="V18" s="676" t="s">
        <v>17</v>
      </c>
      <c r="W18" s="677">
        <f>J18</f>
        <v>100</v>
      </c>
      <c r="X18" s="1394"/>
      <c r="Y18" s="3249"/>
      <c r="Z18" s="1393" t="str">
        <f>Q18</f>
        <v>基础设施水平</v>
      </c>
      <c r="AA18" s="1393">
        <f t="shared" ref="AA18" si="8">D18/F18</f>
        <v>1</v>
      </c>
      <c r="AB18" s="1393">
        <f t="shared" ref="AB18" si="9">D18/H18</f>
        <v>1</v>
      </c>
      <c r="AC18" s="1393">
        <f t="shared" ref="AC18" si="10">D18/J18</f>
        <v>1</v>
      </c>
    </row>
    <row r="19" spans="1:29" ht="15">
      <c r="A19" s="354"/>
      <c r="B19" s="565"/>
      <c r="C19" s="1885"/>
      <c r="D19" s="397"/>
      <c r="E19" s="1885"/>
      <c r="F19" s="400"/>
      <c r="G19" s="1885"/>
      <c r="H19" s="395"/>
      <c r="I19" s="394"/>
      <c r="J19" s="395"/>
      <c r="K19" s="1174"/>
      <c r="L19" s="2659"/>
      <c r="M19" s="2654"/>
      <c r="N19" s="2654"/>
      <c r="O19" s="2654"/>
      <c r="P19" s="3249"/>
      <c r="Q19" s="1392"/>
      <c r="R19" s="676"/>
      <c r="S19" s="677"/>
      <c r="T19" s="676"/>
      <c r="U19" s="677"/>
      <c r="V19" s="676"/>
      <c r="W19" s="677"/>
      <c r="X19" s="1394"/>
      <c r="Y19" s="3249"/>
      <c r="Z19" s="1393"/>
      <c r="AA19" s="1393">
        <v>1</v>
      </c>
      <c r="AB19" s="1393">
        <v>1</v>
      </c>
      <c r="AC19" s="1393">
        <v>1</v>
      </c>
    </row>
    <row r="20" spans="1:29" ht="57">
      <c r="A20" s="354"/>
      <c r="B20" s="564" t="s">
        <v>2291</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49"/>
      <c r="Q20" s="1392" t="str">
        <f>B20</f>
        <v>自然及人文环境</v>
      </c>
      <c r="R20" s="676" t="s">
        <v>17</v>
      </c>
      <c r="S20" s="677">
        <f>F20</f>
        <v>100</v>
      </c>
      <c r="T20" s="676" t="s">
        <v>17</v>
      </c>
      <c r="U20" s="677">
        <f>H20</f>
        <v>100</v>
      </c>
      <c r="V20" s="676" t="s">
        <v>17</v>
      </c>
      <c r="W20" s="677">
        <f>J20</f>
        <v>100</v>
      </c>
      <c r="X20" s="1394"/>
      <c r="Y20" s="3249"/>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9"/>
      <c r="M21" s="2654"/>
      <c r="N21" s="2654"/>
      <c r="O21" s="2654"/>
      <c r="P21" s="3249"/>
      <c r="Q21" s="1392"/>
      <c r="R21" s="676"/>
      <c r="S21" s="677"/>
      <c r="T21" s="676"/>
      <c r="U21" s="677"/>
      <c r="V21" s="676"/>
      <c r="W21" s="677"/>
      <c r="X21" s="1394"/>
      <c r="Y21" s="3249"/>
      <c r="Z21" s="1393"/>
      <c r="AA21" s="1393">
        <v>1</v>
      </c>
      <c r="AB21" s="1393">
        <v>1</v>
      </c>
      <c r="AC21" s="1393">
        <v>1</v>
      </c>
    </row>
    <row r="22" spans="1:29" ht="15">
      <c r="A22" s="354"/>
      <c r="B22" s="564" t="s">
        <v>2292</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49"/>
      <c r="Q22" s="1392" t="str">
        <f>B22</f>
        <v>楼层</v>
      </c>
      <c r="R22" s="676" t="s">
        <v>17</v>
      </c>
      <c r="S22" s="677">
        <f>F22</f>
        <v>100</v>
      </c>
      <c r="T22" s="676" t="s">
        <v>17</v>
      </c>
      <c r="U22" s="677">
        <f>H22</f>
        <v>100</v>
      </c>
      <c r="V22" s="676" t="s">
        <v>17</v>
      </c>
      <c r="W22" s="677">
        <f>J22</f>
        <v>100</v>
      </c>
      <c r="X22" s="1394"/>
      <c r="Y22" s="3249"/>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49"/>
      <c r="Q23" s="1392">
        <f>B23</f>
        <v>111</v>
      </c>
      <c r="R23" s="676" t="s">
        <v>17</v>
      </c>
      <c r="S23" s="677">
        <f>F23</f>
        <v>100</v>
      </c>
      <c r="T23" s="676" t="s">
        <v>17</v>
      </c>
      <c r="U23" s="677">
        <f>H23</f>
        <v>100</v>
      </c>
      <c r="V23" s="676" t="s">
        <v>17</v>
      </c>
      <c r="W23" s="677">
        <f>J23</f>
        <v>100</v>
      </c>
      <c r="X23" s="1394"/>
      <c r="Y23" s="3249"/>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49"/>
      <c r="Q24" s="1392">
        <f t="shared" ref="Q24:Q36" si="11">B24</f>
        <v>111</v>
      </c>
      <c r="R24" s="676" t="s">
        <v>17</v>
      </c>
      <c r="S24" s="677">
        <f>F24</f>
        <v>100</v>
      </c>
      <c r="T24" s="676" t="s">
        <v>17</v>
      </c>
      <c r="U24" s="677">
        <f>H24</f>
        <v>100</v>
      </c>
      <c r="V24" s="676" t="s">
        <v>17</v>
      </c>
      <c r="W24" s="677">
        <f>J24</f>
        <v>100</v>
      </c>
      <c r="X24" s="1394"/>
      <c r="Y24" s="3249"/>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6"/>
      <c r="N25" s="2606"/>
      <c r="O25" s="2606"/>
      <c r="P25" s="3249"/>
      <c r="Q25" s="538">
        <f t="shared" si="11"/>
        <v>111</v>
      </c>
      <c r="R25" s="673" t="s">
        <v>17</v>
      </c>
      <c r="S25" s="674">
        <f>F25</f>
        <v>100</v>
      </c>
      <c r="T25" s="673" t="s">
        <v>17</v>
      </c>
      <c r="U25" s="674">
        <f>H25</f>
        <v>100</v>
      </c>
      <c r="V25" s="673" t="s">
        <v>17</v>
      </c>
      <c r="W25" s="674">
        <f>J25</f>
        <v>100</v>
      </c>
      <c r="X25" s="675"/>
      <c r="Y25" s="3249"/>
      <c r="Z25" s="53">
        <f>Q25</f>
        <v>111</v>
      </c>
      <c r="AA25" s="1393">
        <f>D25/F25</f>
        <v>1</v>
      </c>
      <c r="AB25" s="1393">
        <f>D25/H25</f>
        <v>1</v>
      </c>
      <c r="AC25" s="1393">
        <f>D25/J25</f>
        <v>1</v>
      </c>
    </row>
    <row r="26" spans="1:29" ht="28.5">
      <c r="A26" s="582" t="s">
        <v>2144</v>
      </c>
      <c r="B26" s="63" t="s">
        <v>2293</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275" t="s">
        <v>2146</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53" t="s">
        <v>2146</v>
      </c>
      <c r="Z26" s="1393" t="str">
        <f t="shared" ref="Z26:Z36" si="15">Q26</f>
        <v>配套类型</v>
      </c>
      <c r="AA26" s="1393">
        <f t="shared" si="3"/>
        <v>1</v>
      </c>
      <c r="AB26" s="1393">
        <f t="shared" si="4"/>
        <v>1</v>
      </c>
      <c r="AC26" s="1393">
        <f t="shared" si="5"/>
        <v>1</v>
      </c>
    </row>
    <row r="27" spans="1:29" s="416" customFormat="1" ht="15">
      <c r="A27" s="583"/>
      <c r="B27" s="124" t="s">
        <v>2294</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53"/>
      <c r="Q27" s="539" t="str">
        <f t="shared" si="11"/>
        <v>项目停车位配比</v>
      </c>
      <c r="R27" s="678" t="s">
        <v>17</v>
      </c>
      <c r="S27" s="679">
        <f t="shared" si="12"/>
        <v>100</v>
      </c>
      <c r="T27" s="678" t="s">
        <v>17</v>
      </c>
      <c r="U27" s="679">
        <f t="shared" si="13"/>
        <v>100</v>
      </c>
      <c r="V27" s="678" t="s">
        <v>17</v>
      </c>
      <c r="W27" s="679">
        <f t="shared" si="14"/>
        <v>100</v>
      </c>
      <c r="X27" s="680"/>
      <c r="Y27" s="3253"/>
      <c r="Z27" s="681" t="str">
        <f t="shared" si="15"/>
        <v>项目停车位配比</v>
      </c>
      <c r="AA27" s="1393">
        <f t="shared" si="3"/>
        <v>1</v>
      </c>
      <c r="AB27" s="1393">
        <f t="shared" si="4"/>
        <v>1</v>
      </c>
      <c r="AC27" s="1393">
        <f t="shared" si="5"/>
        <v>1</v>
      </c>
    </row>
    <row r="28" spans="1:29" ht="15">
      <c r="A28" s="585"/>
      <c r="B28" s="124" t="s">
        <v>2295</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53"/>
      <c r="Q28" s="1392" t="str">
        <f t="shared" si="11"/>
        <v>公共部分装修</v>
      </c>
      <c r="R28" s="676" t="s">
        <v>17</v>
      </c>
      <c r="S28" s="677">
        <f t="shared" si="12"/>
        <v>100</v>
      </c>
      <c r="T28" s="676" t="s">
        <v>17</v>
      </c>
      <c r="U28" s="677">
        <f t="shared" si="13"/>
        <v>100</v>
      </c>
      <c r="V28" s="676" t="s">
        <v>17</v>
      </c>
      <c r="W28" s="677">
        <f t="shared" si="14"/>
        <v>100</v>
      </c>
      <c r="X28" s="1394"/>
      <c r="Y28" s="3253"/>
      <c r="Z28" s="1393" t="str">
        <f t="shared" si="15"/>
        <v>公共部分装修</v>
      </c>
      <c r="AA28" s="1393">
        <f t="shared" si="3"/>
        <v>1</v>
      </c>
      <c r="AB28" s="1393">
        <f t="shared" si="4"/>
        <v>1</v>
      </c>
      <c r="AC28" s="1393">
        <f t="shared" si="5"/>
        <v>1</v>
      </c>
    </row>
    <row r="29" spans="1:29" ht="15">
      <c r="A29" s="585"/>
      <c r="B29" s="124" t="s">
        <v>2296</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53"/>
      <c r="Q29" s="1392" t="str">
        <f t="shared" si="11"/>
        <v>成新率</v>
      </c>
      <c r="R29" s="676" t="s">
        <v>17</v>
      </c>
      <c r="S29" s="677" t="e">
        <f t="shared" si="12"/>
        <v>#N/A</v>
      </c>
      <c r="T29" s="676" t="s">
        <v>17</v>
      </c>
      <c r="U29" s="677" t="e">
        <f t="shared" si="13"/>
        <v>#N/A</v>
      </c>
      <c r="V29" s="676" t="s">
        <v>17</v>
      </c>
      <c r="W29" s="677" t="e">
        <f t="shared" si="14"/>
        <v>#N/A</v>
      </c>
      <c r="X29" s="1394"/>
      <c r="Y29" s="3253"/>
      <c r="Z29" s="1393" t="str">
        <f t="shared" si="15"/>
        <v>成新率</v>
      </c>
      <c r="AA29" s="1393" t="e">
        <f t="shared" si="3"/>
        <v>#N/A</v>
      </c>
      <c r="AB29" s="1393" t="e">
        <f t="shared" si="4"/>
        <v>#N/A</v>
      </c>
      <c r="AC29" s="1393" t="e">
        <f t="shared" si="5"/>
        <v>#N/A</v>
      </c>
    </row>
    <row r="30" spans="1:29" ht="15">
      <c r="A30" s="585"/>
      <c r="B30" s="124" t="s">
        <v>2297</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53"/>
      <c r="Q30" s="1392" t="str">
        <f t="shared" si="11"/>
        <v>物业等级</v>
      </c>
      <c r="R30" s="676" t="s">
        <v>17</v>
      </c>
      <c r="S30" s="677">
        <f t="shared" si="12"/>
        <v>100</v>
      </c>
      <c r="T30" s="676" t="s">
        <v>17</v>
      </c>
      <c r="U30" s="677">
        <f t="shared" si="13"/>
        <v>100</v>
      </c>
      <c r="V30" s="676" t="s">
        <v>17</v>
      </c>
      <c r="W30" s="677">
        <f t="shared" si="14"/>
        <v>100</v>
      </c>
      <c r="X30" s="1394"/>
      <c r="Y30" s="3253"/>
      <c r="Z30" s="1393" t="str">
        <f t="shared" si="15"/>
        <v>物业等级</v>
      </c>
      <c r="AA30" s="1393">
        <f t="shared" si="3"/>
        <v>1</v>
      </c>
      <c r="AB30" s="1393">
        <f t="shared" si="4"/>
        <v>1</v>
      </c>
      <c r="AC30" s="1393">
        <f t="shared" si="5"/>
        <v>1</v>
      </c>
    </row>
    <row r="31" spans="1:29" s="107" customFormat="1" ht="15">
      <c r="A31" s="587"/>
      <c r="B31" s="124" t="s">
        <v>2298</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6"/>
      <c r="N31" s="2606"/>
      <c r="O31" s="2606"/>
      <c r="P31" s="3253"/>
      <c r="Q31" s="538" t="str">
        <f t="shared" si="11"/>
        <v>停车位面积</v>
      </c>
      <c r="R31" s="673" t="s">
        <v>17</v>
      </c>
      <c r="S31" s="674" t="e">
        <f t="shared" si="12"/>
        <v>#N/A</v>
      </c>
      <c r="T31" s="673" t="s">
        <v>17</v>
      </c>
      <c r="U31" s="674" t="e">
        <f t="shared" si="13"/>
        <v>#N/A</v>
      </c>
      <c r="V31" s="673" t="s">
        <v>17</v>
      </c>
      <c r="W31" s="674" t="e">
        <f t="shared" si="14"/>
        <v>#N/A</v>
      </c>
      <c r="X31" s="675"/>
      <c r="Y31" s="3253"/>
      <c r="Z31" s="53" t="str">
        <f t="shared" si="15"/>
        <v>停车位面积</v>
      </c>
      <c r="AA31" s="53" t="e">
        <f t="shared" si="3"/>
        <v>#N/A</v>
      </c>
      <c r="AB31" s="53" t="e">
        <f t="shared" si="4"/>
        <v>#N/A</v>
      </c>
      <c r="AC31" s="53" t="e">
        <f t="shared" si="5"/>
        <v>#N/A</v>
      </c>
    </row>
    <row r="32" spans="1:29" ht="15">
      <c r="A32" s="585"/>
      <c r="B32" s="124" t="s">
        <v>2299</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53" t="s">
        <v>2146</v>
      </c>
      <c r="Q32" s="1392" t="str">
        <f t="shared" si="11"/>
        <v>车位类型</v>
      </c>
      <c r="R32" s="676" t="s">
        <v>17</v>
      </c>
      <c r="S32" s="677">
        <f t="shared" si="12"/>
        <v>100</v>
      </c>
      <c r="T32" s="676" t="s">
        <v>17</v>
      </c>
      <c r="U32" s="677">
        <f t="shared" si="13"/>
        <v>100</v>
      </c>
      <c r="V32" s="676" t="s">
        <v>17</v>
      </c>
      <c r="W32" s="677">
        <f t="shared" si="14"/>
        <v>100</v>
      </c>
      <c r="X32" s="1394"/>
      <c r="Y32" s="3253" t="s">
        <v>2146</v>
      </c>
      <c r="Z32" s="1393" t="str">
        <f t="shared" si="15"/>
        <v>车位类型</v>
      </c>
      <c r="AA32" s="1393">
        <f t="shared" si="3"/>
        <v>1</v>
      </c>
      <c r="AB32" s="1393">
        <f t="shared" si="4"/>
        <v>1</v>
      </c>
      <c r="AC32" s="1393">
        <f t="shared" si="5"/>
        <v>1</v>
      </c>
    </row>
    <row r="33" spans="1:29" ht="15">
      <c r="A33" s="585"/>
      <c r="B33" s="124" t="s">
        <v>2300</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53"/>
      <c r="Q33" s="1392" t="str">
        <f t="shared" si="11"/>
        <v>是否直接入户</v>
      </c>
      <c r="R33" s="676" t="s">
        <v>17</v>
      </c>
      <c r="S33" s="677">
        <f t="shared" si="12"/>
        <v>100</v>
      </c>
      <c r="T33" s="676" t="s">
        <v>17</v>
      </c>
      <c r="U33" s="677">
        <f t="shared" si="13"/>
        <v>100</v>
      </c>
      <c r="V33" s="676" t="s">
        <v>17</v>
      </c>
      <c r="W33" s="677">
        <f t="shared" si="14"/>
        <v>100</v>
      </c>
      <c r="X33" s="1394"/>
      <c r="Y33" s="3253"/>
      <c r="Z33" s="1393" t="str">
        <f t="shared" si="15"/>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53"/>
      <c r="Q34" s="1392">
        <f t="shared" si="11"/>
        <v>111</v>
      </c>
      <c r="R34" s="676" t="s">
        <v>17</v>
      </c>
      <c r="S34" s="677">
        <f t="shared" si="12"/>
        <v>100</v>
      </c>
      <c r="T34" s="676" t="s">
        <v>17</v>
      </c>
      <c r="U34" s="677">
        <f t="shared" si="13"/>
        <v>100</v>
      </c>
      <c r="V34" s="676" t="s">
        <v>17</v>
      </c>
      <c r="W34" s="677">
        <f t="shared" si="14"/>
        <v>100</v>
      </c>
      <c r="X34" s="1394"/>
      <c r="Y34" s="3253"/>
      <c r="Z34" s="1393">
        <f t="shared" si="15"/>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53"/>
      <c r="Q35" s="539">
        <f t="shared" si="11"/>
        <v>111</v>
      </c>
      <c r="R35" s="678" t="s">
        <v>17</v>
      </c>
      <c r="S35" s="679">
        <f t="shared" si="12"/>
        <v>100</v>
      </c>
      <c r="T35" s="678" t="s">
        <v>17</v>
      </c>
      <c r="U35" s="679">
        <f t="shared" si="13"/>
        <v>100</v>
      </c>
      <c r="V35" s="678" t="s">
        <v>17</v>
      </c>
      <c r="W35" s="679">
        <f t="shared" si="14"/>
        <v>100</v>
      </c>
      <c r="X35" s="680"/>
      <c r="Y35" s="3253"/>
      <c r="Z35" s="681">
        <f t="shared" si="15"/>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53"/>
      <c r="Q36" s="1392">
        <f t="shared" si="11"/>
        <v>111</v>
      </c>
      <c r="R36" s="676" t="s">
        <v>17</v>
      </c>
      <c r="S36" s="677">
        <f t="shared" si="12"/>
        <v>100</v>
      </c>
      <c r="T36" s="676" t="s">
        <v>17</v>
      </c>
      <c r="U36" s="677">
        <f t="shared" si="13"/>
        <v>100</v>
      </c>
      <c r="V36" s="676" t="s">
        <v>17</v>
      </c>
      <c r="W36" s="677">
        <f t="shared" si="14"/>
        <v>100</v>
      </c>
      <c r="X36" s="1394"/>
      <c r="Y36" s="3253"/>
      <c r="Z36" s="1393">
        <f t="shared" si="15"/>
        <v>111</v>
      </c>
      <c r="AA36" s="1393">
        <f t="shared" si="3"/>
        <v>1</v>
      </c>
      <c r="AB36" s="1393">
        <f t="shared" si="4"/>
        <v>1</v>
      </c>
      <c r="AC36" s="1393">
        <f t="shared" si="5"/>
        <v>1</v>
      </c>
    </row>
    <row r="37" spans="1:29" ht="15">
      <c r="A37" s="424" t="s">
        <v>2301</v>
      </c>
      <c r="B37" s="1951" t="s">
        <v>2302</v>
      </c>
      <c r="C37" s="1191" t="s">
        <v>1</v>
      </c>
      <c r="D37" s="426"/>
      <c r="E37" s="427"/>
      <c r="F37" s="428"/>
      <c r="G37" s="429"/>
      <c r="H37" s="430"/>
      <c r="I37" s="427"/>
      <c r="J37" s="430"/>
      <c r="K37" s="553"/>
      <c r="L37" s="2661"/>
      <c r="M37" s="2654"/>
      <c r="N37" s="2654"/>
      <c r="O37" s="2654"/>
      <c r="P37" s="3247" t="str">
        <f>A37</f>
        <v>成交单价</v>
      </c>
      <c r="Q37" s="3247"/>
      <c r="R37" s="3242">
        <f>E37</f>
        <v>0</v>
      </c>
      <c r="S37" s="3242"/>
      <c r="T37" s="3242">
        <f>G37</f>
        <v>0</v>
      </c>
      <c r="U37" s="3242"/>
      <c r="V37" s="3242">
        <f>I37</f>
        <v>0</v>
      </c>
      <c r="W37" s="3242"/>
      <c r="X37" s="393"/>
      <c r="Y37" s="682"/>
      <c r="Z37" s="393"/>
      <c r="AA37" s="393"/>
      <c r="AB37" s="393"/>
      <c r="AC37" s="393"/>
    </row>
    <row r="38" spans="1:29" ht="15.75" thickBot="1">
      <c r="A38" s="431" t="s">
        <v>2303</v>
      </c>
      <c r="B38" s="432" t="str">
        <f>B37</f>
        <v>元/车位</v>
      </c>
      <c r="C38" s="1192" t="e">
        <f>R39</f>
        <v>#DIV/0!</v>
      </c>
      <c r="D38" s="2301" t="s">
        <v>2640</v>
      </c>
      <c r="E38" s="1193" t="e">
        <f>R38</f>
        <v>#DIV/0!</v>
      </c>
      <c r="F38" s="2302"/>
      <c r="G38" s="1192" t="e">
        <f>T38</f>
        <v>#DIV/0!</v>
      </c>
      <c r="H38" s="2302"/>
      <c r="I38" s="1193" t="e">
        <f>V38</f>
        <v>#DIV/0!</v>
      </c>
      <c r="J38" s="2302"/>
      <c r="K38" s="2304">
        <f>F38+H38+J38</f>
        <v>0</v>
      </c>
      <c r="L38" s="2661"/>
      <c r="M38" s="2654"/>
      <c r="N38" s="2654"/>
      <c r="O38" s="2654"/>
      <c r="P38" s="3247" t="str">
        <f>A38</f>
        <v>比较价值（元/平方米）</v>
      </c>
      <c r="Q38" s="3247"/>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393"/>
      <c r="Y38" s="393"/>
      <c r="Z38" s="393"/>
      <c r="AA38" s="393"/>
      <c r="AB38" s="393"/>
      <c r="AC38" s="393"/>
    </row>
    <row r="39" spans="1:29" ht="15.75" thickBot="1">
      <c r="A39" s="435" t="s">
        <v>2304</v>
      </c>
      <c r="B39" s="436"/>
      <c r="C39" s="357" t="e">
        <f>R39</f>
        <v>#DIV/0!</v>
      </c>
      <c r="D39" s="357"/>
      <c r="E39" s="357"/>
      <c r="F39" s="357"/>
      <c r="G39" s="357"/>
      <c r="H39" s="357"/>
      <c r="I39" s="357"/>
      <c r="J39" s="357"/>
      <c r="K39" s="554"/>
      <c r="L39" s="2661"/>
      <c r="M39" s="2654"/>
      <c r="N39" s="2654"/>
      <c r="O39" s="2654"/>
      <c r="P39" s="3244" t="str">
        <f>A39</f>
        <v>估价对象XX用房的比较价值（楼面单价，元/平方米）</v>
      </c>
      <c r="Q39" s="3245"/>
      <c r="R39" s="3276" t="e">
        <f>IF(F1="售价",ROUND(IF(D38="简单平均",AVERAGE(R38:W38),R38*F38+T38*H38+V38*J38),0),ROUND(IF(D38="简单平均",AVERAGE(R38:V38),R38*F38+T38*H38+V38*J38),1))</f>
        <v>#DIV/0!</v>
      </c>
      <c r="S39" s="3276"/>
      <c r="T39" s="3276"/>
      <c r="U39" s="3276"/>
      <c r="V39" s="3276"/>
      <c r="W39" s="3276"/>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2305</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2306</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2307</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75" thickBot="1">
      <c r="A47" s="1197" t="s">
        <v>2308</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ht="15">
      <c r="A48" s="448" t="s">
        <v>2309</v>
      </c>
      <c r="B48" s="449"/>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2694"/>
      <c r="Q48" s="2677"/>
      <c r="R48" s="2677"/>
      <c r="S48" s="2677"/>
      <c r="T48" s="2677"/>
      <c r="U48" s="2677"/>
      <c r="V48" s="2677"/>
      <c r="W48" s="2677"/>
      <c r="X48" s="2677"/>
      <c r="Y48" s="2677"/>
      <c r="Z48" s="2677"/>
      <c r="AA48" s="2677"/>
      <c r="AB48" s="2677"/>
      <c r="AC48" s="2677"/>
    </row>
    <row r="49" spans="1:29" s="107" customFormat="1" ht="15">
      <c r="A49" s="451"/>
      <c r="B49" s="452"/>
      <c r="C49" s="1207">
        <v>100</v>
      </c>
      <c r="D49" s="454"/>
      <c r="E49" s="454"/>
      <c r="F49" s="454"/>
      <c r="G49" s="454"/>
      <c r="H49" s="454"/>
      <c r="I49" s="454"/>
      <c r="J49" s="454"/>
      <c r="K49" s="454"/>
      <c r="L49" s="454"/>
      <c r="M49" s="455"/>
      <c r="N49" s="454"/>
      <c r="O49" s="455"/>
      <c r="P49" s="2695"/>
      <c r="Q49" s="2606"/>
      <c r="R49" s="2606"/>
      <c r="S49" s="2606"/>
      <c r="T49" s="2606"/>
      <c r="U49" s="2606"/>
      <c r="V49" s="2606"/>
      <c r="W49" s="2606"/>
      <c r="X49" s="2606"/>
      <c r="Y49" s="2606"/>
      <c r="Z49" s="2606"/>
      <c r="AA49" s="2606"/>
      <c r="AB49" s="2606"/>
      <c r="AC49" s="2606"/>
    </row>
    <row r="50" spans="1:29" s="107" customFormat="1" ht="15.75" thickBot="1">
      <c r="A50" s="457" t="s">
        <v>2166</v>
      </c>
      <c r="B50" s="458"/>
      <c r="C50" s="459"/>
      <c r="D50" s="460"/>
      <c r="E50" s="460"/>
      <c r="F50" s="460"/>
      <c r="G50" s="460"/>
      <c r="H50" s="460"/>
      <c r="I50" s="460"/>
      <c r="J50" s="460"/>
      <c r="K50" s="460"/>
      <c r="L50" s="460"/>
      <c r="M50" s="461"/>
      <c r="N50" s="460"/>
      <c r="O50" s="461"/>
      <c r="P50" s="2695"/>
      <c r="Q50" s="2675"/>
      <c r="R50" s="2606"/>
      <c r="S50" s="2606"/>
      <c r="T50" s="2606"/>
      <c r="U50" s="2606"/>
      <c r="V50" s="2606"/>
      <c r="W50" s="2606"/>
      <c r="X50" s="2606"/>
      <c r="Y50" s="2606"/>
      <c r="Z50" s="2606"/>
      <c r="AA50" s="2606"/>
      <c r="AB50" s="2606"/>
      <c r="AC50" s="2606"/>
    </row>
    <row r="51" spans="1:29" s="107" customFormat="1" ht="15">
      <c r="A51" s="463" t="s">
        <v>2131</v>
      </c>
      <c r="B51" s="452"/>
      <c r="C51" s="464" t="s">
        <v>2233</v>
      </c>
      <c r="D51" s="34"/>
      <c r="E51" s="34"/>
      <c r="F51" s="34"/>
      <c r="G51" s="34"/>
      <c r="H51" s="34"/>
      <c r="I51" s="34"/>
      <c r="J51" s="34"/>
      <c r="K51" s="34"/>
      <c r="L51" s="465"/>
      <c r="M51" s="466"/>
      <c r="N51" s="2687"/>
      <c r="O51" s="2687"/>
      <c r="P51" s="2696"/>
      <c r="Q51" s="2675"/>
      <c r="R51" s="2606"/>
      <c r="S51" s="2606"/>
      <c r="T51" s="2606"/>
      <c r="U51" s="2606"/>
      <c r="V51" s="2606"/>
      <c r="W51" s="2606"/>
      <c r="X51" s="2606"/>
      <c r="Y51" s="2606"/>
      <c r="Z51" s="2606"/>
      <c r="AA51" s="2606"/>
      <c r="AB51" s="2606"/>
      <c r="AC51" s="2606"/>
    </row>
    <row r="52" spans="1:29" s="107" customFormat="1" ht="15.75" thickBot="1">
      <c r="A52" s="463"/>
      <c r="B52" s="452"/>
      <c r="C52" s="571">
        <v>100</v>
      </c>
      <c r="D52" s="454"/>
      <c r="E52" s="454"/>
      <c r="F52" s="454"/>
      <c r="G52" s="454"/>
      <c r="H52" s="454"/>
      <c r="I52" s="454"/>
      <c r="J52" s="454"/>
      <c r="K52" s="454"/>
      <c r="L52" s="454"/>
      <c r="M52" s="456"/>
      <c r="N52" s="2687"/>
      <c r="O52" s="2687"/>
      <c r="P52" s="2695"/>
      <c r="Q52" s="2675"/>
      <c r="R52" s="2606"/>
      <c r="S52" s="2606"/>
      <c r="T52" s="2606"/>
      <c r="U52" s="2606"/>
      <c r="V52" s="2606"/>
      <c r="W52" s="2606"/>
      <c r="X52" s="2606"/>
      <c r="Y52" s="2606"/>
      <c r="Z52" s="2606"/>
      <c r="AA52" s="2606"/>
      <c r="AB52" s="2606"/>
      <c r="AC52" s="2606"/>
    </row>
    <row r="53" spans="1:29">
      <c r="A53" s="387" t="s">
        <v>2169</v>
      </c>
      <c r="B53" s="468" t="s">
        <v>2135</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5.7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7.75" thickTop="1">
      <c r="A55" s="375"/>
      <c r="B55" s="477" t="s">
        <v>2138</v>
      </c>
      <c r="C55" s="478" t="s">
        <v>2170</v>
      </c>
      <c r="D55" s="478" t="s">
        <v>2171</v>
      </c>
      <c r="E55" s="478" t="s">
        <v>2172</v>
      </c>
      <c r="F55" s="478" t="s">
        <v>2173</v>
      </c>
      <c r="G55" s="478" t="s">
        <v>2174</v>
      </c>
      <c r="H55" s="478" t="s">
        <v>2175</v>
      </c>
      <c r="I55" s="478" t="s">
        <v>2176</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5.7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5.7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5.7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5.7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5.7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5.7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5" thickTop="1">
      <c r="A63" s="387" t="s">
        <v>2140</v>
      </c>
      <c r="B63" s="468" t="s">
        <v>2183</v>
      </c>
      <c r="C63" s="512" t="s">
        <v>2178</v>
      </c>
      <c r="D63" s="512" t="s">
        <v>2179</v>
      </c>
      <c r="E63" s="512" t="s">
        <v>2180</v>
      </c>
      <c r="F63" s="512" t="s">
        <v>2181</v>
      </c>
      <c r="G63" s="512" t="s">
        <v>2182</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5.75" thickTop="1">
      <c r="A65" s="375"/>
      <c r="B65" s="477" t="s">
        <v>2184</v>
      </c>
      <c r="C65" s="517" t="s">
        <v>2178</v>
      </c>
      <c r="D65" s="517" t="s">
        <v>2179</v>
      </c>
      <c r="E65" s="517" t="s">
        <v>2180</v>
      </c>
      <c r="F65" s="517" t="s">
        <v>2181</v>
      </c>
      <c r="G65" s="517" t="s">
        <v>2182</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5.75" thickTop="1">
      <c r="A67" s="375"/>
      <c r="B67" s="485" t="s">
        <v>2270</v>
      </c>
      <c r="C67" s="589" t="s">
        <v>2256</v>
      </c>
      <c r="D67" s="589" t="s">
        <v>2257</v>
      </c>
      <c r="E67" s="589" t="s">
        <v>2258</v>
      </c>
      <c r="F67" s="589" t="s">
        <v>2259</v>
      </c>
      <c r="G67" s="589" t="s">
        <v>2260</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5.75" thickTop="1">
      <c r="A69" s="375"/>
      <c r="B69" s="477" t="s">
        <v>2190</v>
      </c>
      <c r="C69" s="517" t="s">
        <v>2178</v>
      </c>
      <c r="D69" s="517" t="s">
        <v>2179</v>
      </c>
      <c r="E69" s="517" t="s">
        <v>2180</v>
      </c>
      <c r="F69" s="517" t="s">
        <v>2181</v>
      </c>
      <c r="G69" s="517" t="s">
        <v>2182</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5.75" thickTop="1">
      <c r="A71" s="375"/>
      <c r="B71" s="477" t="s">
        <v>2310</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5.75" thickTop="1">
      <c r="A73" s="378"/>
      <c r="B73" s="477">
        <f>B23</f>
        <v>111</v>
      </c>
      <c r="C73" s="488"/>
      <c r="D73" s="488"/>
      <c r="E73" s="488"/>
      <c r="F73" s="488"/>
      <c r="G73" s="493"/>
      <c r="H73" s="493"/>
      <c r="I73" s="493"/>
      <c r="J73" s="493"/>
      <c r="K73" s="493"/>
      <c r="L73" s="518"/>
      <c r="M73" s="519"/>
      <c r="N73" s="2687"/>
      <c r="O73" s="2687"/>
      <c r="P73" s="2697"/>
      <c r="Q73" s="2675"/>
      <c r="R73" s="2606"/>
      <c r="S73" s="2606"/>
      <c r="T73" s="2606"/>
      <c r="U73" s="2606"/>
      <c r="V73" s="2606"/>
      <c r="W73" s="2606"/>
      <c r="X73" s="2606"/>
      <c r="Y73" s="2606"/>
      <c r="Z73" s="2606"/>
      <c r="AA73" s="2606"/>
      <c r="AB73" s="2606"/>
      <c r="AC73" s="2606"/>
    </row>
    <row r="74" spans="1:29" s="107" customFormat="1" ht="15.75" thickBot="1">
      <c r="A74" s="378"/>
      <c r="B74" s="482"/>
      <c r="C74" s="499"/>
      <c r="D74" s="475"/>
      <c r="E74" s="475"/>
      <c r="F74" s="475"/>
      <c r="G74" s="475"/>
      <c r="H74" s="475"/>
      <c r="I74" s="475"/>
      <c r="J74" s="475"/>
      <c r="K74" s="475"/>
      <c r="L74" s="475"/>
      <c r="M74" s="476"/>
      <c r="N74" s="2689"/>
      <c r="O74" s="2689"/>
      <c r="P74" s="2697"/>
      <c r="Q74" s="2675"/>
      <c r="R74" s="2606"/>
      <c r="S74" s="2606"/>
      <c r="T74" s="2606"/>
      <c r="U74" s="2606"/>
      <c r="V74" s="2606"/>
      <c r="W74" s="2606"/>
      <c r="X74" s="2606"/>
      <c r="Y74" s="2606"/>
      <c r="Z74" s="2606"/>
      <c r="AA74" s="2606"/>
      <c r="AB74" s="2606"/>
      <c r="AC74" s="2606"/>
    </row>
    <row r="75" spans="1:29" s="107" customFormat="1" ht="15.75" thickTop="1">
      <c r="A75" s="378"/>
      <c r="B75" s="477">
        <f>B24</f>
        <v>111</v>
      </c>
      <c r="C75" s="488"/>
      <c r="D75" s="488"/>
      <c r="E75" s="488"/>
      <c r="F75" s="488"/>
      <c r="G75" s="493"/>
      <c r="H75" s="493"/>
      <c r="I75" s="493"/>
      <c r="J75" s="493"/>
      <c r="K75" s="493"/>
      <c r="L75" s="493"/>
      <c r="M75" s="519"/>
      <c r="N75" s="2687"/>
      <c r="O75" s="2687"/>
      <c r="P75" s="2697"/>
      <c r="Q75" s="2675"/>
      <c r="R75" s="2606"/>
      <c r="S75" s="2606"/>
      <c r="T75" s="2606"/>
      <c r="U75" s="2606"/>
      <c r="V75" s="2606"/>
      <c r="W75" s="2606"/>
      <c r="X75" s="2606"/>
      <c r="Y75" s="2606"/>
      <c r="Z75" s="2606"/>
      <c r="AA75" s="2606"/>
      <c r="AB75" s="2606"/>
      <c r="AC75" s="2606"/>
    </row>
    <row r="76" spans="1:29" s="107" customFormat="1" ht="15.75" thickBot="1">
      <c r="A76" s="378"/>
      <c r="B76" s="482"/>
      <c r="C76" s="499"/>
      <c r="D76" s="475"/>
      <c r="E76" s="475"/>
      <c r="F76" s="475"/>
      <c r="G76" s="475"/>
      <c r="H76" s="475"/>
      <c r="I76" s="475"/>
      <c r="J76" s="475"/>
      <c r="K76" s="475"/>
      <c r="L76" s="475"/>
      <c r="M76" s="476"/>
      <c r="N76" s="2689"/>
      <c r="O76" s="2689"/>
      <c r="P76" s="2697"/>
      <c r="Q76" s="2675"/>
      <c r="R76" s="2606"/>
      <c r="S76" s="2606"/>
      <c r="T76" s="2606"/>
      <c r="U76" s="2606"/>
      <c r="V76" s="2606"/>
      <c r="W76" s="2606"/>
      <c r="X76" s="2606"/>
      <c r="Y76" s="2606"/>
      <c r="Z76" s="2606"/>
      <c r="AA76" s="2606"/>
      <c r="AB76" s="2606"/>
      <c r="AC76" s="2606"/>
    </row>
    <row r="77" spans="1:29" s="416" customFormat="1" ht="15.7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5.7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7.75" thickTop="1">
      <c r="A79" s="387" t="s">
        <v>2144</v>
      </c>
      <c r="B79" s="468" t="s">
        <v>2311</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9"/>
      <c r="O80" s="2689"/>
      <c r="P80" s="2697"/>
      <c r="Q80" s="2675"/>
      <c r="R80" s="2654"/>
      <c r="S80" s="2654"/>
      <c r="T80" s="2654"/>
      <c r="U80" s="2654"/>
      <c r="V80" s="2654"/>
      <c r="W80" s="2654"/>
      <c r="X80" s="2654"/>
      <c r="Y80" s="2654"/>
      <c r="Z80" s="2654"/>
      <c r="AA80" s="2654"/>
      <c r="AB80" s="2654"/>
      <c r="AC80" s="2654"/>
    </row>
    <row r="81" spans="1:29" ht="15.75" thickTop="1">
      <c r="A81" s="375"/>
      <c r="B81" s="477" t="s">
        <v>2312</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5" thickTop="1">
      <c r="A83" s="417"/>
      <c r="B83" s="477" t="s">
        <v>2197</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9"/>
      <c r="O84" s="2689"/>
      <c r="P84" s="2697"/>
      <c r="Q84" s="2675"/>
      <c r="R84" s="2654"/>
      <c r="S84" s="2654"/>
      <c r="T84" s="2654"/>
      <c r="U84" s="2654"/>
      <c r="V84" s="2654"/>
      <c r="W84" s="2654"/>
      <c r="X84" s="2654"/>
      <c r="Y84" s="2654"/>
      <c r="Z84" s="2654"/>
      <c r="AA84" s="2654"/>
      <c r="AB84" s="2654"/>
      <c r="AC84" s="2654"/>
    </row>
    <row r="85" spans="1:29" ht="15" thickTop="1">
      <c r="A85" s="417"/>
      <c r="B85" s="477" t="s">
        <v>2313</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9"/>
      <c r="O87" s="2689"/>
      <c r="P87" s="2697"/>
      <c r="Q87" s="2675"/>
      <c r="R87" s="2654"/>
      <c r="S87" s="2654"/>
      <c r="T87" s="2654"/>
      <c r="U87" s="2654"/>
      <c r="V87" s="2654"/>
      <c r="W87" s="2654"/>
      <c r="X87" s="2654"/>
      <c r="Y87" s="2654"/>
      <c r="Z87" s="2654"/>
      <c r="AA87" s="2654"/>
      <c r="AB87" s="2654"/>
      <c r="AC87" s="2654"/>
    </row>
    <row r="88" spans="1:29" ht="15" thickTop="1">
      <c r="A88" s="417"/>
      <c r="B88" s="485" t="s">
        <v>2314</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9"/>
      <c r="O89" s="2689"/>
      <c r="P89" s="2697"/>
      <c r="Q89" s="2675"/>
      <c r="R89" s="2654"/>
      <c r="S89" s="2654"/>
      <c r="T89" s="2654"/>
      <c r="U89" s="2654"/>
      <c r="V89" s="2654"/>
      <c r="W89" s="2654"/>
      <c r="X89" s="2654"/>
      <c r="Y89" s="2654"/>
      <c r="Z89" s="2654"/>
      <c r="AA89" s="2654"/>
      <c r="AB89" s="2654"/>
      <c r="AC89" s="2654"/>
    </row>
    <row r="90" spans="1:29" s="416" customFormat="1" ht="15" thickTop="1">
      <c r="A90" s="414"/>
      <c r="B90" s="477" t="s">
        <v>2315</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5" thickTop="1">
      <c r="A93" s="417"/>
      <c r="B93" s="477" t="s">
        <v>2316</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9"/>
      <c r="O94" s="2689"/>
      <c r="P94" s="2697"/>
      <c r="Q94" s="2675"/>
      <c r="R94" s="2654"/>
      <c r="S94" s="2654"/>
      <c r="T94" s="2654"/>
      <c r="U94" s="2654"/>
      <c r="V94" s="2654"/>
      <c r="W94" s="2654"/>
      <c r="X94" s="2654"/>
      <c r="Y94" s="2654"/>
      <c r="Z94" s="2654"/>
      <c r="AA94" s="2654"/>
      <c r="AB94" s="2654"/>
      <c r="AC94" s="2654"/>
    </row>
    <row r="95" spans="1:29" ht="15" thickTop="1">
      <c r="A95" s="417"/>
      <c r="B95" s="477" t="s">
        <v>2317</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5.7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5.7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265" customFormat="1" ht="28.5" customHeight="1" thickBot="1">
      <c r="A1" s="1254" t="s">
        <v>2288</v>
      </c>
      <c r="B1" s="1255"/>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IF(C2="——",ROUND(C37*D3/10000,0),ROUND(C37*D3/10000,0)-D2)</f>
        <v>#DIV/0!</v>
      </c>
      <c r="C2" s="1867"/>
      <c r="D2" s="961" t="e">
        <f ca="1">SUMIF(INDIRECT("'"&amp;F2&amp;"'"&amp;"!A:A"),"承租人权益价值",INDIRECT("'"&amp;F2&amp;"'"&amp;"!c:c"))</f>
        <v>#REF!</v>
      </c>
      <c r="E2" s="1868" t="s">
        <v>1909</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2225</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17" t="s">
        <v>2228</v>
      </c>
      <c r="S4" s="3218"/>
      <c r="T4" s="3217" t="s">
        <v>2229</v>
      </c>
      <c r="U4" s="3218"/>
      <c r="V4" s="3242" t="s">
        <v>2230</v>
      </c>
      <c r="W4" s="3242"/>
      <c r="X4" s="1394"/>
      <c r="Y4" s="3217" t="s">
        <v>2232</v>
      </c>
      <c r="Z4" s="3218"/>
      <c r="AA4" s="3212" t="s">
        <v>2228</v>
      </c>
      <c r="AB4" s="3213" t="s">
        <v>2229</v>
      </c>
      <c r="AC4" s="3212" t="s">
        <v>2230</v>
      </c>
    </row>
    <row r="5" spans="1:29" ht="15">
      <c r="A5" s="354"/>
      <c r="B5" s="355"/>
      <c r="C5" s="3223" t="s">
        <v>2123</v>
      </c>
      <c r="D5" s="3224"/>
      <c r="E5" s="3221" t="s">
        <v>2124</v>
      </c>
      <c r="F5" s="3222"/>
      <c r="G5" s="3223" t="s">
        <v>2125</v>
      </c>
      <c r="H5" s="3224"/>
      <c r="I5" s="3223" t="s">
        <v>2126</v>
      </c>
      <c r="J5" s="3224"/>
      <c r="K5" s="545"/>
      <c r="L5" s="2653"/>
      <c r="M5" s="2654"/>
      <c r="N5" s="2654"/>
      <c r="O5" s="2654"/>
      <c r="P5" s="3236"/>
      <c r="Q5" s="3237"/>
      <c r="R5" s="3219"/>
      <c r="S5" s="3220"/>
      <c r="T5" s="3219"/>
      <c r="U5" s="3220"/>
      <c r="V5" s="3242"/>
      <c r="W5" s="3242"/>
      <c r="X5" s="1394"/>
      <c r="Y5" s="3219"/>
      <c r="Z5" s="3220"/>
      <c r="AA5" s="3213"/>
      <c r="AB5" s="3213"/>
      <c r="AC5" s="3213"/>
    </row>
    <row r="6" spans="1:29" ht="15.75" thickBot="1">
      <c r="A6" s="356"/>
      <c r="B6" s="357"/>
      <c r="C6" s="3225" t="s">
        <v>2127</v>
      </c>
      <c r="D6" s="3226"/>
      <c r="E6" s="3227" t="s">
        <v>2127</v>
      </c>
      <c r="F6" s="3228"/>
      <c r="G6" s="3225" t="s">
        <v>2127</v>
      </c>
      <c r="H6" s="3226"/>
      <c r="I6" s="3225" t="s">
        <v>2127</v>
      </c>
      <c r="J6" s="3226"/>
      <c r="K6" s="545" t="s">
        <v>2128</v>
      </c>
      <c r="L6" s="2653"/>
      <c r="M6" s="2654"/>
      <c r="N6" s="2654"/>
      <c r="O6" s="2654"/>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SUMIF(46:46,YEAR(E7)&amp;"-"&amp;MONTH(E7),47:47)</f>
        <v>0</v>
      </c>
      <c r="G7" s="1952"/>
      <c r="H7" s="361">
        <f>SUMIF(46:46,YEAR(G7)&amp;"-"&amp;MONTH(G7),47:47)</f>
        <v>0</v>
      </c>
      <c r="I7" s="362"/>
      <c r="J7" s="361">
        <f>SUMIF(46:46,YEAR(I7)&amp;"-"&amp;MONTH(I7),47:47)</f>
        <v>0</v>
      </c>
      <c r="K7" s="41"/>
      <c r="L7" s="2655"/>
      <c r="M7" s="2606"/>
      <c r="N7" s="2606"/>
      <c r="O7" s="2606"/>
      <c r="P7" s="3215" t="s">
        <v>2130</v>
      </c>
      <c r="Q7" s="3243"/>
      <c r="R7" s="673" t="s">
        <v>17</v>
      </c>
      <c r="S7" s="674">
        <f t="shared" ref="S7:S14" si="0">F7</f>
        <v>0</v>
      </c>
      <c r="T7" s="673" t="s">
        <v>17</v>
      </c>
      <c r="U7" s="674">
        <f t="shared" ref="U7:U14" si="1">H7</f>
        <v>0</v>
      </c>
      <c r="V7" s="673" t="s">
        <v>17</v>
      </c>
      <c r="W7" s="674">
        <f t="shared" ref="W7:W14" si="2">J7</f>
        <v>0</v>
      </c>
      <c r="X7" s="675"/>
      <c r="Y7" s="3215" t="s">
        <v>2130</v>
      </c>
      <c r="Z7" s="3216"/>
      <c r="AA7" s="53" t="e">
        <f>D7/F7</f>
        <v>#DIV/0!</v>
      </c>
      <c r="AB7" s="53" t="e">
        <f>D7/H7</f>
        <v>#DIV/0!</v>
      </c>
      <c r="AC7" s="53" t="e">
        <f>D7/J7</f>
        <v>#DIV/0!</v>
      </c>
    </row>
    <row r="8" spans="1:29" s="107" customFormat="1" ht="15.75" thickBot="1">
      <c r="A8" s="358" t="s">
        <v>2131</v>
      </c>
      <c r="B8" s="359"/>
      <c r="C8" s="364" t="s">
        <v>2233</v>
      </c>
      <c r="D8" s="361">
        <v>100</v>
      </c>
      <c r="E8" s="364"/>
      <c r="F8" s="363">
        <f>SUMIF(49:49,E8,50:50)-SUMIF(49:49,C8,50:50)+100</f>
        <v>0</v>
      </c>
      <c r="G8" s="364"/>
      <c r="H8" s="361">
        <f>SUMIF(49:49,G8,50:50)-SUMIF(49:49,C8,50:50)+100</f>
        <v>0</v>
      </c>
      <c r="I8" s="364"/>
      <c r="J8" s="361">
        <f>SUMIF(49:49,I8,50:50)-SUMIF(49:49,C8,50:50)+100</f>
        <v>0</v>
      </c>
      <c r="K8" s="41"/>
      <c r="L8" s="2655"/>
      <c r="M8" s="2606"/>
      <c r="N8" s="2606"/>
      <c r="O8" s="2606"/>
      <c r="P8" s="3215" t="s">
        <v>2133</v>
      </c>
      <c r="Q8" s="3216"/>
      <c r="R8" s="673" t="s">
        <v>17</v>
      </c>
      <c r="S8" s="674">
        <f t="shared" si="0"/>
        <v>0</v>
      </c>
      <c r="T8" s="673" t="s">
        <v>17</v>
      </c>
      <c r="U8" s="674">
        <f t="shared" si="1"/>
        <v>0</v>
      </c>
      <c r="V8" s="673" t="s">
        <v>17</v>
      </c>
      <c r="W8" s="674">
        <f t="shared" si="2"/>
        <v>0</v>
      </c>
      <c r="X8" s="675"/>
      <c r="Y8" s="3215" t="s">
        <v>2133</v>
      </c>
      <c r="Z8" s="3216"/>
      <c r="AA8" s="53" t="e">
        <f t="shared" ref="AA8:AA34" si="3">D8/F8</f>
        <v>#DIV/0!</v>
      </c>
      <c r="AB8" s="53" t="e">
        <f t="shared" ref="AB8:AB34" si="4">D8/H8</f>
        <v>#DIV/0!</v>
      </c>
      <c r="AC8" s="53" t="e">
        <f t="shared" ref="AC8:AC34" si="5">D8/J8</f>
        <v>#DIV/0!</v>
      </c>
    </row>
    <row r="9" spans="1:29" s="107" customFormat="1">
      <c r="A9" s="365" t="s">
        <v>2134</v>
      </c>
      <c r="B9" s="64" t="s">
        <v>2135</v>
      </c>
      <c r="C9" s="366"/>
      <c r="D9" s="63">
        <v>100</v>
      </c>
      <c r="E9" s="368"/>
      <c r="F9" s="64">
        <f>SUMIF(51:51,E9,52:52)-SUMIF(51:51,C9,52:52)+100</f>
        <v>100</v>
      </c>
      <c r="G9" s="368"/>
      <c r="H9" s="63">
        <f>SUMIF(51:51,G9,52:52)-SUMIF(51:51,C9,52:52)+100</f>
        <v>100</v>
      </c>
      <c r="I9" s="368"/>
      <c r="J9" s="63">
        <f>SUMIF(51:51,I9,52:52)-SUMIF(51:51,C9,52:52)+100</f>
        <v>100</v>
      </c>
      <c r="K9" s="41"/>
      <c r="L9" s="2655"/>
      <c r="M9" s="2606"/>
      <c r="N9" s="2606"/>
      <c r="O9" s="2707"/>
      <c r="P9" s="3247" t="s">
        <v>2136</v>
      </c>
      <c r="Q9" s="538" t="str">
        <f t="shared" ref="Q9:Q14" si="6">B9</f>
        <v>用途</v>
      </c>
      <c r="R9" s="673" t="s">
        <v>17</v>
      </c>
      <c r="S9" s="674">
        <f t="shared" si="0"/>
        <v>100</v>
      </c>
      <c r="T9" s="673" t="s">
        <v>17</v>
      </c>
      <c r="U9" s="674">
        <f t="shared" si="1"/>
        <v>100</v>
      </c>
      <c r="V9" s="673" t="s">
        <v>17</v>
      </c>
      <c r="W9" s="674">
        <f t="shared" si="2"/>
        <v>100</v>
      </c>
      <c r="X9" s="675"/>
      <c r="Y9" s="3159" t="s">
        <v>2137</v>
      </c>
      <c r="Z9" s="53" t="str">
        <f t="shared" ref="Z9:Z14" si="7">Q9</f>
        <v>用途</v>
      </c>
      <c r="AA9" s="53">
        <f t="shared" si="3"/>
        <v>1</v>
      </c>
      <c r="AB9" s="53">
        <f t="shared" si="4"/>
        <v>1</v>
      </c>
      <c r="AC9" s="53">
        <f t="shared" si="5"/>
        <v>1</v>
      </c>
    </row>
    <row r="10" spans="1:29" s="374" customFormat="1" ht="27">
      <c r="A10" s="369"/>
      <c r="B10" s="370" t="s">
        <v>2138</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47"/>
      <c r="Q10" s="538" t="str">
        <f t="shared" si="6"/>
        <v>土地使用年限（年）</v>
      </c>
      <c r="R10" s="673" t="s">
        <v>17</v>
      </c>
      <c r="S10" s="674">
        <f t="shared" si="0"/>
        <v>100</v>
      </c>
      <c r="T10" s="673" t="s">
        <v>17</v>
      </c>
      <c r="U10" s="674">
        <f t="shared" si="1"/>
        <v>100</v>
      </c>
      <c r="V10" s="673" t="s">
        <v>17</v>
      </c>
      <c r="W10" s="674">
        <f t="shared" si="2"/>
        <v>100</v>
      </c>
      <c r="X10" s="675"/>
      <c r="Y10" s="3159"/>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47"/>
      <c r="Q11" s="538">
        <f t="shared" si="6"/>
        <v>111</v>
      </c>
      <c r="R11" s="673" t="s">
        <v>17</v>
      </c>
      <c r="S11" s="674">
        <f t="shared" si="0"/>
        <v>100</v>
      </c>
      <c r="T11" s="673" t="s">
        <v>17</v>
      </c>
      <c r="U11" s="674">
        <f t="shared" si="1"/>
        <v>100</v>
      </c>
      <c r="V11" s="673" t="s">
        <v>17</v>
      </c>
      <c r="W11" s="674">
        <f t="shared" si="2"/>
        <v>100</v>
      </c>
      <c r="X11" s="675"/>
      <c r="Y11" s="3159"/>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6"/>
      <c r="N12" s="2606"/>
      <c r="O12" s="2707"/>
      <c r="P12" s="3247"/>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47"/>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53">
        <f t="shared" si="5"/>
        <v>1</v>
      </c>
    </row>
    <row r="14" spans="1:29" ht="85.5">
      <c r="A14" s="387" t="s">
        <v>2140</v>
      </c>
      <c r="B14" s="62" t="s">
        <v>2290</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48" t="s">
        <v>2141</v>
      </c>
      <c r="Q14" s="1392" t="str">
        <f t="shared" si="6"/>
        <v>交通便捷度</v>
      </c>
      <c r="R14" s="676" t="s">
        <v>17</v>
      </c>
      <c r="S14" s="677">
        <f t="shared" si="0"/>
        <v>100</v>
      </c>
      <c r="T14" s="676" t="s">
        <v>17</v>
      </c>
      <c r="U14" s="677">
        <f t="shared" si="1"/>
        <v>100</v>
      </c>
      <c r="V14" s="676" t="s">
        <v>17</v>
      </c>
      <c r="W14" s="677">
        <f t="shared" si="2"/>
        <v>100</v>
      </c>
      <c r="X14" s="1394"/>
      <c r="Y14" s="3248" t="s">
        <v>2141</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9"/>
      <c r="M15" s="2654"/>
      <c r="N15" s="2654"/>
      <c r="O15" s="2709"/>
      <c r="P15" s="3249"/>
      <c r="Q15" s="1392"/>
      <c r="R15" s="676"/>
      <c r="S15" s="677"/>
      <c r="T15" s="676"/>
      <c r="U15" s="677"/>
      <c r="V15" s="676"/>
      <c r="W15" s="677"/>
      <c r="X15" s="1394"/>
      <c r="Y15" s="3249"/>
      <c r="Z15" s="1393"/>
      <c r="AA15" s="1393">
        <v>1</v>
      </c>
      <c r="AB15" s="1393">
        <v>1</v>
      </c>
      <c r="AC15" s="1393">
        <v>1</v>
      </c>
    </row>
    <row r="16" spans="1:29" ht="42.75">
      <c r="A16" s="375"/>
      <c r="B16" s="398" t="s">
        <v>2269</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49"/>
      <c r="Q16" s="1392" t="str">
        <f>B16</f>
        <v>公共配套设施</v>
      </c>
      <c r="R16" s="676" t="s">
        <v>17</v>
      </c>
      <c r="S16" s="677">
        <f>F16</f>
        <v>100</v>
      </c>
      <c r="T16" s="676" t="s">
        <v>17</v>
      </c>
      <c r="U16" s="677">
        <f>H16</f>
        <v>100</v>
      </c>
      <c r="V16" s="676" t="s">
        <v>17</v>
      </c>
      <c r="W16" s="677">
        <f>J16</f>
        <v>100</v>
      </c>
      <c r="X16" s="1394"/>
      <c r="Y16" s="3249"/>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9"/>
      <c r="M17" s="2654"/>
      <c r="N17" s="2654"/>
      <c r="O17" s="2709"/>
      <c r="P17" s="3249"/>
      <c r="Q17" s="1392"/>
      <c r="R17" s="676"/>
      <c r="S17" s="677"/>
      <c r="T17" s="676"/>
      <c r="U17" s="677"/>
      <c r="V17" s="676"/>
      <c r="W17" s="677"/>
      <c r="X17" s="1394"/>
      <c r="Y17" s="3249"/>
      <c r="Z17" s="1393"/>
      <c r="AA17" s="1393">
        <v>1</v>
      </c>
      <c r="AB17" s="1393">
        <v>1</v>
      </c>
      <c r="AC17" s="1393">
        <v>1</v>
      </c>
    </row>
    <row r="18" spans="1:29" ht="28.5">
      <c r="A18" s="375"/>
      <c r="B18" s="594" t="s">
        <v>2270</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49"/>
      <c r="Q18" s="1392" t="str">
        <f>B18</f>
        <v>基础设施水平</v>
      </c>
      <c r="R18" s="676" t="s">
        <v>17</v>
      </c>
      <c r="S18" s="677">
        <f>F18</f>
        <v>100</v>
      </c>
      <c r="T18" s="676" t="s">
        <v>17</v>
      </c>
      <c r="U18" s="677">
        <f>H18</f>
        <v>100</v>
      </c>
      <c r="V18" s="676" t="s">
        <v>17</v>
      </c>
      <c r="W18" s="677">
        <f>J18</f>
        <v>100</v>
      </c>
      <c r="X18" s="1394"/>
      <c r="Y18" s="3249"/>
      <c r="Z18" s="1393" t="str">
        <f>Q18</f>
        <v>基础设施水平</v>
      </c>
      <c r="AA18" s="1393">
        <f t="shared" ref="AA18" si="8">D18/F18</f>
        <v>1</v>
      </c>
      <c r="AB18" s="1393">
        <f t="shared" ref="AB18" si="9">D18/H18</f>
        <v>1</v>
      </c>
      <c r="AC18" s="1393">
        <f t="shared" ref="AC18" si="10">D18/J18</f>
        <v>1</v>
      </c>
    </row>
    <row r="19" spans="1:29" ht="15">
      <c r="A19" s="375"/>
      <c r="B19" s="594"/>
      <c r="C19" s="1885"/>
      <c r="D19" s="397"/>
      <c r="E19" s="1885"/>
      <c r="F19" s="400"/>
      <c r="G19" s="1885"/>
      <c r="H19" s="395"/>
      <c r="I19" s="394"/>
      <c r="J19" s="395"/>
      <c r="K19" s="1174"/>
      <c r="L19" s="2659"/>
      <c r="M19" s="2654"/>
      <c r="N19" s="2654"/>
      <c r="O19" s="2709"/>
      <c r="P19" s="3249"/>
      <c r="Q19" s="1392"/>
      <c r="R19" s="676"/>
      <c r="S19" s="677"/>
      <c r="T19" s="676"/>
      <c r="U19" s="677"/>
      <c r="V19" s="676"/>
      <c r="W19" s="677"/>
      <c r="X19" s="1394"/>
      <c r="Y19" s="3249"/>
      <c r="Z19" s="1393"/>
      <c r="AA19" s="1393">
        <v>1</v>
      </c>
      <c r="AB19" s="1393">
        <v>1</v>
      </c>
      <c r="AC19" s="1393">
        <v>1</v>
      </c>
    </row>
    <row r="20" spans="1:29" ht="57">
      <c r="A20" s="375"/>
      <c r="B20" s="398" t="s">
        <v>2291</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49"/>
      <c r="Q20" s="1392" t="str">
        <f>B20</f>
        <v>自然及人文环境</v>
      </c>
      <c r="R20" s="676" t="s">
        <v>17</v>
      </c>
      <c r="S20" s="677">
        <f>F20</f>
        <v>100</v>
      </c>
      <c r="T20" s="676" t="s">
        <v>17</v>
      </c>
      <c r="U20" s="677">
        <f>H20</f>
        <v>100</v>
      </c>
      <c r="V20" s="676" t="s">
        <v>17</v>
      </c>
      <c r="W20" s="677">
        <f>J20</f>
        <v>100</v>
      </c>
      <c r="X20" s="1394"/>
      <c r="Y20" s="3249"/>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9"/>
      <c r="M21" s="2654"/>
      <c r="N21" s="2654"/>
      <c r="O21" s="2709"/>
      <c r="P21" s="3249"/>
      <c r="Q21" s="1392"/>
      <c r="R21" s="676"/>
      <c r="S21" s="677"/>
      <c r="T21" s="676"/>
      <c r="U21" s="677"/>
      <c r="V21" s="676"/>
      <c r="W21" s="677"/>
      <c r="X21" s="1394"/>
      <c r="Y21" s="3249"/>
      <c r="Z21" s="1393"/>
      <c r="AA21" s="1393">
        <v>1</v>
      </c>
      <c r="AB21" s="1393">
        <v>1</v>
      </c>
      <c r="AC21" s="1393">
        <v>1</v>
      </c>
    </row>
    <row r="22" spans="1:29" ht="15">
      <c r="A22" s="375"/>
      <c r="B22" s="398" t="s">
        <v>2292</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49"/>
      <c r="Q22" s="1392" t="str">
        <f>B22</f>
        <v>楼层</v>
      </c>
      <c r="R22" s="676" t="s">
        <v>17</v>
      </c>
      <c r="S22" s="677">
        <f>F22</f>
        <v>100</v>
      </c>
      <c r="T22" s="676" t="s">
        <v>17</v>
      </c>
      <c r="U22" s="677">
        <f>H22</f>
        <v>100</v>
      </c>
      <c r="V22" s="676" t="s">
        <v>17</v>
      </c>
      <c r="W22" s="677">
        <f>J22</f>
        <v>100</v>
      </c>
      <c r="X22" s="1394"/>
      <c r="Y22" s="3249"/>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49"/>
      <c r="Q23" s="1392">
        <f>B23</f>
        <v>111</v>
      </c>
      <c r="R23" s="676" t="s">
        <v>17</v>
      </c>
      <c r="S23" s="677">
        <f>F23</f>
        <v>100</v>
      </c>
      <c r="T23" s="676" t="s">
        <v>17</v>
      </c>
      <c r="U23" s="677">
        <f>H23</f>
        <v>100</v>
      </c>
      <c r="V23" s="676" t="s">
        <v>17</v>
      </c>
      <c r="W23" s="677">
        <f>J23</f>
        <v>100</v>
      </c>
      <c r="X23" s="1394"/>
      <c r="Y23" s="3249"/>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49"/>
      <c r="Q24" s="1392">
        <f t="shared" ref="Q24:Q34" si="11">B24</f>
        <v>111</v>
      </c>
      <c r="R24" s="676" t="s">
        <v>17</v>
      </c>
      <c r="S24" s="677">
        <f>F24</f>
        <v>100</v>
      </c>
      <c r="T24" s="676" t="s">
        <v>17</v>
      </c>
      <c r="U24" s="677">
        <f>H24</f>
        <v>100</v>
      </c>
      <c r="V24" s="676" t="s">
        <v>17</v>
      </c>
      <c r="W24" s="677">
        <f>J24</f>
        <v>100</v>
      </c>
      <c r="X24" s="1394"/>
      <c r="Y24" s="3249"/>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6"/>
      <c r="N25" s="2606"/>
      <c r="O25" s="2707"/>
      <c r="P25" s="3249"/>
      <c r="Q25" s="538">
        <f t="shared" si="11"/>
        <v>111</v>
      </c>
      <c r="R25" s="673" t="s">
        <v>17</v>
      </c>
      <c r="S25" s="674">
        <f>F25</f>
        <v>100</v>
      </c>
      <c r="T25" s="673" t="s">
        <v>17</v>
      </c>
      <c r="U25" s="674">
        <f>H25</f>
        <v>100</v>
      </c>
      <c r="V25" s="673" t="s">
        <v>17</v>
      </c>
      <c r="W25" s="674">
        <f>J25</f>
        <v>100</v>
      </c>
      <c r="X25" s="675"/>
      <c r="Y25" s="3249"/>
      <c r="Z25" s="53">
        <f>Q25</f>
        <v>111</v>
      </c>
      <c r="AA25" s="1393">
        <f>D25/F25</f>
        <v>1</v>
      </c>
      <c r="AB25" s="1393">
        <f>D25/H25</f>
        <v>1</v>
      </c>
      <c r="AC25" s="1393">
        <f>D25/J25</f>
        <v>1</v>
      </c>
    </row>
    <row r="26" spans="1:29" ht="28.5">
      <c r="A26" s="412" t="s">
        <v>2144</v>
      </c>
      <c r="B26" s="64" t="s">
        <v>2295</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275" t="s">
        <v>2146</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53" t="s">
        <v>2146</v>
      </c>
      <c r="Z26" s="1393" t="str">
        <f t="shared" ref="Z26:Z34" si="15">Q26</f>
        <v>公共部分装修</v>
      </c>
      <c r="AA26" s="1393">
        <f t="shared" si="3"/>
        <v>1</v>
      </c>
      <c r="AB26" s="1393">
        <f t="shared" si="4"/>
        <v>1</v>
      </c>
      <c r="AC26" s="1393">
        <f t="shared" si="5"/>
        <v>1</v>
      </c>
    </row>
    <row r="27" spans="1:29" s="416" customFormat="1" ht="15">
      <c r="A27" s="414"/>
      <c r="B27" s="370" t="s">
        <v>2296</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53"/>
      <c r="Q27" s="539" t="str">
        <f t="shared" si="11"/>
        <v>成新率</v>
      </c>
      <c r="R27" s="678" t="s">
        <v>17</v>
      </c>
      <c r="S27" s="679" t="e">
        <f t="shared" si="12"/>
        <v>#N/A</v>
      </c>
      <c r="T27" s="678" t="s">
        <v>17</v>
      </c>
      <c r="U27" s="679" t="e">
        <f t="shared" si="13"/>
        <v>#N/A</v>
      </c>
      <c r="V27" s="678" t="s">
        <v>17</v>
      </c>
      <c r="W27" s="679" t="e">
        <f t="shared" si="14"/>
        <v>#N/A</v>
      </c>
      <c r="X27" s="680"/>
      <c r="Y27" s="3253"/>
      <c r="Z27" s="681" t="str">
        <f t="shared" si="15"/>
        <v>成新率</v>
      </c>
      <c r="AA27" s="1393" t="e">
        <f t="shared" si="3"/>
        <v>#N/A</v>
      </c>
      <c r="AB27" s="1393" t="e">
        <f t="shared" si="4"/>
        <v>#N/A</v>
      </c>
      <c r="AC27" s="1393" t="e">
        <f t="shared" si="5"/>
        <v>#N/A</v>
      </c>
    </row>
    <row r="28" spans="1:29" ht="15">
      <c r="A28" s="417"/>
      <c r="B28" s="370" t="s">
        <v>2297</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53"/>
      <c r="Q28" s="1392" t="str">
        <f t="shared" si="11"/>
        <v>物业等级</v>
      </c>
      <c r="R28" s="676" t="s">
        <v>17</v>
      </c>
      <c r="S28" s="677">
        <f t="shared" si="12"/>
        <v>100</v>
      </c>
      <c r="T28" s="676" t="s">
        <v>17</v>
      </c>
      <c r="U28" s="677">
        <f t="shared" si="13"/>
        <v>100</v>
      </c>
      <c r="V28" s="676" t="s">
        <v>17</v>
      </c>
      <c r="W28" s="677">
        <f t="shared" si="14"/>
        <v>100</v>
      </c>
      <c r="X28" s="1394"/>
      <c r="Y28" s="3253"/>
      <c r="Z28" s="1393" t="str">
        <f t="shared" si="15"/>
        <v>物业等级</v>
      </c>
      <c r="AA28" s="1393">
        <f t="shared" si="3"/>
        <v>1</v>
      </c>
      <c r="AB28" s="1393">
        <f t="shared" si="4"/>
        <v>1</v>
      </c>
      <c r="AC28" s="1393">
        <f t="shared" si="5"/>
        <v>1</v>
      </c>
    </row>
    <row r="29" spans="1:29" ht="15">
      <c r="A29" s="417"/>
      <c r="B29" s="370" t="s">
        <v>2318</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53"/>
      <c r="Q29" s="1392" t="str">
        <f t="shared" si="11"/>
        <v>有无电梯</v>
      </c>
      <c r="R29" s="676" t="s">
        <v>17</v>
      </c>
      <c r="S29" s="677">
        <f t="shared" si="12"/>
        <v>100</v>
      </c>
      <c r="T29" s="676" t="s">
        <v>17</v>
      </c>
      <c r="U29" s="677">
        <f t="shared" si="13"/>
        <v>100</v>
      </c>
      <c r="V29" s="676" t="s">
        <v>17</v>
      </c>
      <c r="W29" s="677">
        <f t="shared" si="14"/>
        <v>100</v>
      </c>
      <c r="X29" s="1394"/>
      <c r="Y29" s="3253"/>
      <c r="Z29" s="1393" t="str">
        <f t="shared" si="15"/>
        <v>有无电梯</v>
      </c>
      <c r="AA29" s="1393">
        <f t="shared" si="3"/>
        <v>1</v>
      </c>
      <c r="AB29" s="1393">
        <f t="shared" si="4"/>
        <v>1</v>
      </c>
      <c r="AC29" s="1393">
        <f t="shared" si="5"/>
        <v>1</v>
      </c>
    </row>
    <row r="30" spans="1:29" ht="15">
      <c r="A30" s="417"/>
      <c r="B30" s="370" t="s">
        <v>2319</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53"/>
      <c r="Q30" s="1392" t="str">
        <f t="shared" si="11"/>
        <v>建筑面积</v>
      </c>
      <c r="R30" s="676" t="s">
        <v>17</v>
      </c>
      <c r="S30" s="677" t="e">
        <f t="shared" si="12"/>
        <v>#N/A</v>
      </c>
      <c r="T30" s="676" t="s">
        <v>17</v>
      </c>
      <c r="U30" s="677" t="e">
        <f t="shared" si="13"/>
        <v>#N/A</v>
      </c>
      <c r="V30" s="676" t="s">
        <v>17</v>
      </c>
      <c r="W30" s="677" t="e">
        <f t="shared" si="14"/>
        <v>#N/A</v>
      </c>
      <c r="X30" s="1394"/>
      <c r="Y30" s="3253"/>
      <c r="Z30" s="1393" t="str">
        <f t="shared" si="15"/>
        <v>建筑面积</v>
      </c>
      <c r="AA30" s="1393" t="e">
        <f t="shared" si="3"/>
        <v>#N/A</v>
      </c>
      <c r="AB30" s="1393" t="e">
        <f t="shared" si="4"/>
        <v>#N/A</v>
      </c>
      <c r="AC30" s="1393" t="e">
        <f t="shared" si="5"/>
        <v>#N/A</v>
      </c>
    </row>
    <row r="31" spans="1:29" s="107" customFormat="1" ht="15">
      <c r="A31" s="418"/>
      <c r="B31" s="370" t="s">
        <v>2320</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6"/>
      <c r="N31" s="2606"/>
      <c r="O31" s="2707"/>
      <c r="P31" s="3253"/>
      <c r="Q31" s="538" t="str">
        <f t="shared" si="11"/>
        <v>是否封闭</v>
      </c>
      <c r="R31" s="673" t="s">
        <v>17</v>
      </c>
      <c r="S31" s="674">
        <f t="shared" si="12"/>
        <v>100</v>
      </c>
      <c r="T31" s="673" t="s">
        <v>17</v>
      </c>
      <c r="U31" s="674">
        <f t="shared" si="13"/>
        <v>100</v>
      </c>
      <c r="V31" s="673" t="s">
        <v>17</v>
      </c>
      <c r="W31" s="674">
        <f t="shared" si="14"/>
        <v>100</v>
      </c>
      <c r="X31" s="675"/>
      <c r="Y31" s="3253"/>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53" t="s">
        <v>2146</v>
      </c>
      <c r="Q32" s="1392">
        <f t="shared" si="11"/>
        <v>111</v>
      </c>
      <c r="R32" s="676" t="s">
        <v>17</v>
      </c>
      <c r="S32" s="677">
        <f t="shared" si="12"/>
        <v>100</v>
      </c>
      <c r="T32" s="676" t="s">
        <v>17</v>
      </c>
      <c r="U32" s="677">
        <f t="shared" si="13"/>
        <v>100</v>
      </c>
      <c r="V32" s="676" t="s">
        <v>17</v>
      </c>
      <c r="W32" s="677">
        <f t="shared" si="14"/>
        <v>100</v>
      </c>
      <c r="X32" s="1394"/>
      <c r="Y32" s="3253" t="s">
        <v>2146</v>
      </c>
      <c r="Z32" s="1393">
        <f t="shared" si="15"/>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53"/>
      <c r="Q33" s="1392">
        <f t="shared" si="11"/>
        <v>111</v>
      </c>
      <c r="R33" s="676" t="s">
        <v>17</v>
      </c>
      <c r="S33" s="677">
        <f t="shared" si="12"/>
        <v>100</v>
      </c>
      <c r="T33" s="676" t="s">
        <v>17</v>
      </c>
      <c r="U33" s="677">
        <f t="shared" si="13"/>
        <v>100</v>
      </c>
      <c r="V33" s="676" t="s">
        <v>17</v>
      </c>
      <c r="W33" s="677">
        <f t="shared" si="14"/>
        <v>100</v>
      </c>
      <c r="X33" s="1394"/>
      <c r="Y33" s="3253"/>
      <c r="Z33" s="1393">
        <f t="shared" si="15"/>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53"/>
      <c r="Q34" s="1392">
        <f t="shared" si="11"/>
        <v>111</v>
      </c>
      <c r="R34" s="676" t="s">
        <v>17</v>
      </c>
      <c r="S34" s="677">
        <f t="shared" si="12"/>
        <v>100</v>
      </c>
      <c r="T34" s="676" t="s">
        <v>17</v>
      </c>
      <c r="U34" s="677">
        <f t="shared" si="13"/>
        <v>100</v>
      </c>
      <c r="V34" s="676" t="s">
        <v>17</v>
      </c>
      <c r="W34" s="677">
        <f t="shared" si="14"/>
        <v>100</v>
      </c>
      <c r="X34" s="1394"/>
      <c r="Y34" s="3253"/>
      <c r="Z34" s="1393">
        <f t="shared" si="15"/>
        <v>111</v>
      </c>
      <c r="AA34" s="1393">
        <f t="shared" si="3"/>
        <v>1</v>
      </c>
      <c r="AB34" s="1393">
        <f t="shared" si="4"/>
        <v>1</v>
      </c>
      <c r="AC34" s="1393">
        <f t="shared" si="5"/>
        <v>1</v>
      </c>
    </row>
    <row r="35" spans="1:30" ht="15">
      <c r="A35" s="424" t="s">
        <v>2158</v>
      </c>
      <c r="B35" s="425"/>
      <c r="C35" s="1191" t="s">
        <v>1</v>
      </c>
      <c r="D35" s="426"/>
      <c r="E35" s="427"/>
      <c r="F35" s="428"/>
      <c r="G35" s="429"/>
      <c r="H35" s="430"/>
      <c r="I35" s="427"/>
      <c r="J35" s="430"/>
      <c r="K35" s="683"/>
      <c r="L35" s="2661"/>
      <c r="M35" s="2654"/>
      <c r="N35" s="2654"/>
      <c r="O35" s="2654"/>
      <c r="P35" s="3247" t="str">
        <f>A35</f>
        <v>成交单价（元/平方米）</v>
      </c>
      <c r="Q35" s="3247"/>
      <c r="R35" s="3242">
        <f>E35</f>
        <v>0</v>
      </c>
      <c r="S35" s="3242"/>
      <c r="T35" s="3242">
        <f>G35</f>
        <v>0</v>
      </c>
      <c r="U35" s="3242"/>
      <c r="V35" s="3242">
        <f>I35</f>
        <v>0</v>
      </c>
      <c r="W35" s="3242"/>
      <c r="X35" s="393"/>
      <c r="Y35" s="682"/>
      <c r="Z35" s="393"/>
      <c r="AA35" s="393"/>
      <c r="AB35" s="393"/>
      <c r="AC35" s="393"/>
    </row>
    <row r="36" spans="1:30" ht="15.75" thickBot="1">
      <c r="A36" s="431" t="s">
        <v>2250</v>
      </c>
      <c r="B36" s="432"/>
      <c r="C36" s="1192" t="e">
        <f>R37</f>
        <v>#DIV/0!</v>
      </c>
      <c r="D36" s="2301" t="s">
        <v>2640</v>
      </c>
      <c r="E36" s="1193" t="e">
        <f>R36</f>
        <v>#DIV/0!</v>
      </c>
      <c r="F36" s="2302"/>
      <c r="G36" s="1192" t="e">
        <f>T36</f>
        <v>#DIV/0!</v>
      </c>
      <c r="H36" s="2302"/>
      <c r="I36" s="1193" t="e">
        <f>V36</f>
        <v>#DIV/0!</v>
      </c>
      <c r="J36" s="2302"/>
      <c r="K36" s="2304">
        <f>F36+H36+J36</f>
        <v>0</v>
      </c>
      <c r="L36" s="2661"/>
      <c r="M36" s="2654"/>
      <c r="N36" s="2654"/>
      <c r="O36" s="2654"/>
      <c r="P36" s="3247" t="str">
        <f>A36</f>
        <v>比较价值（元/平方米）</v>
      </c>
      <c r="Q36" s="3247"/>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393"/>
      <c r="Y36" s="393"/>
      <c r="Z36" s="393"/>
      <c r="AA36" s="393"/>
      <c r="AB36" s="393"/>
      <c r="AC36" s="393"/>
    </row>
    <row r="37" spans="1:30" ht="15.75" thickBot="1">
      <c r="A37" s="435" t="s">
        <v>2251</v>
      </c>
      <c r="B37" s="436"/>
      <c r="C37" s="357" t="e">
        <f>R37</f>
        <v>#DIV/0!</v>
      </c>
      <c r="D37" s="357"/>
      <c r="E37" s="357"/>
      <c r="F37" s="357"/>
      <c r="G37" s="357"/>
      <c r="H37" s="357"/>
      <c r="I37" s="357"/>
      <c r="J37" s="357"/>
      <c r="K37" s="684"/>
      <c r="L37" s="2661"/>
      <c r="M37" s="2654"/>
      <c r="N37" s="2654"/>
      <c r="O37" s="2654"/>
      <c r="P37" s="3244" t="str">
        <f>A37</f>
        <v>估价对象XX用房的比较价值（楼面单价，元/平方米）</v>
      </c>
      <c r="Q37" s="3245"/>
      <c r="R37" s="3276" t="e">
        <f>IF(F1="售价",ROUND(IF(D36="简单平均",AVERAGE(R36:W36),R36*F36+T36*H36+V36*J36),0),ROUND(IF(D36="简单平均",AVERAGE(R36:V36),R36*F36+T36*H36+V36*J36),1))</f>
        <v>#DIV/0!</v>
      </c>
      <c r="S37" s="3276"/>
      <c r="T37" s="3276"/>
      <c r="U37" s="3276"/>
      <c r="V37" s="3276"/>
      <c r="W37" s="3276"/>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2252</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2253</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2254</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75" thickBot="1">
      <c r="A45" s="667" t="s">
        <v>2255</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ht="15">
      <c r="A46" s="448" t="s">
        <v>2129</v>
      </c>
      <c r="B46" s="449"/>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2677"/>
      <c r="Q46" s="2677"/>
      <c r="R46" s="2677"/>
      <c r="S46" s="2677"/>
      <c r="T46" s="2677"/>
      <c r="U46" s="2677"/>
      <c r="V46" s="2677"/>
      <c r="W46" s="2677"/>
      <c r="X46" s="2677"/>
      <c r="Y46" s="2677"/>
      <c r="Z46" s="2677"/>
      <c r="AA46" s="2677"/>
      <c r="AB46" s="2677"/>
      <c r="AC46" s="2677"/>
      <c r="AD46" s="2677"/>
    </row>
    <row r="47" spans="1:30" s="107" customFormat="1" ht="15">
      <c r="A47" s="451"/>
      <c r="B47" s="452"/>
      <c r="C47" s="1212">
        <v>100</v>
      </c>
      <c r="D47" s="454"/>
      <c r="E47" s="454"/>
      <c r="F47" s="454"/>
      <c r="G47" s="454"/>
      <c r="H47" s="454"/>
      <c r="I47" s="454"/>
      <c r="J47" s="454"/>
      <c r="K47" s="454"/>
      <c r="L47" s="454"/>
      <c r="M47" s="455"/>
      <c r="N47" s="454"/>
      <c r="O47" s="456"/>
      <c r="P47" s="2675"/>
      <c r="Q47" s="2606"/>
      <c r="R47" s="2606"/>
      <c r="S47" s="2606"/>
      <c r="T47" s="2606"/>
      <c r="U47" s="2606"/>
      <c r="V47" s="2606"/>
      <c r="W47" s="2606"/>
      <c r="X47" s="2606"/>
      <c r="Y47" s="2606"/>
      <c r="Z47" s="2606"/>
      <c r="AA47" s="2606"/>
      <c r="AB47" s="2606"/>
      <c r="AC47" s="2606"/>
      <c r="AD47" s="2606"/>
    </row>
    <row r="48" spans="1:30" s="107" customFormat="1" ht="15.75" thickBot="1">
      <c r="A48" s="457" t="s">
        <v>2166</v>
      </c>
      <c r="B48" s="458"/>
      <c r="C48" s="459"/>
      <c r="D48" s="460"/>
      <c r="E48" s="460"/>
      <c r="F48" s="460"/>
      <c r="G48" s="460"/>
      <c r="H48" s="460"/>
      <c r="I48" s="460"/>
      <c r="J48" s="460"/>
      <c r="K48" s="460"/>
      <c r="L48" s="460"/>
      <c r="M48" s="461"/>
      <c r="N48" s="460"/>
      <c r="O48" s="462"/>
      <c r="P48" s="2675"/>
      <c r="Q48" s="2675"/>
      <c r="R48" s="2606"/>
      <c r="S48" s="2606"/>
      <c r="T48" s="2606"/>
      <c r="U48" s="2606"/>
      <c r="V48" s="2606"/>
      <c r="W48" s="2606"/>
      <c r="X48" s="2606"/>
      <c r="Y48" s="2606"/>
      <c r="Z48" s="2606"/>
      <c r="AA48" s="2606"/>
      <c r="AB48" s="2606"/>
      <c r="AC48" s="2606"/>
      <c r="AD48" s="2606"/>
    </row>
    <row r="49" spans="1:30" s="107" customFormat="1" ht="15">
      <c r="A49" s="463" t="s">
        <v>2131</v>
      </c>
      <c r="B49" s="452"/>
      <c r="C49" s="464" t="s">
        <v>2233</v>
      </c>
      <c r="D49" s="34"/>
      <c r="E49" s="34"/>
      <c r="F49" s="34"/>
      <c r="G49" s="34"/>
      <c r="H49" s="34"/>
      <c r="I49" s="34"/>
      <c r="J49" s="34"/>
      <c r="K49" s="34"/>
      <c r="L49" s="465"/>
      <c r="M49" s="466"/>
      <c r="N49" s="2687"/>
      <c r="O49" s="2687"/>
      <c r="P49" s="2711"/>
      <c r="Q49" s="2675"/>
      <c r="R49" s="2606"/>
      <c r="S49" s="2606"/>
      <c r="T49" s="2606"/>
      <c r="U49" s="2606"/>
      <c r="V49" s="2606"/>
      <c r="W49" s="2606"/>
      <c r="X49" s="2606"/>
      <c r="Y49" s="2606"/>
      <c r="Z49" s="2606"/>
      <c r="AA49" s="2606"/>
      <c r="AB49" s="2606"/>
      <c r="AC49" s="2606"/>
      <c r="AD49" s="2606"/>
    </row>
    <row r="50" spans="1:30" s="107" customFormat="1" ht="15.75" thickBot="1">
      <c r="A50" s="463"/>
      <c r="B50" s="452"/>
      <c r="C50" s="571">
        <v>100</v>
      </c>
      <c r="D50" s="454"/>
      <c r="E50" s="454"/>
      <c r="F50" s="454"/>
      <c r="G50" s="454"/>
      <c r="H50" s="454"/>
      <c r="I50" s="454"/>
      <c r="J50" s="454"/>
      <c r="K50" s="454"/>
      <c r="L50" s="454"/>
      <c r="M50" s="456"/>
      <c r="N50" s="2687"/>
      <c r="O50" s="2687"/>
      <c r="P50" s="2675"/>
      <c r="Q50" s="2675"/>
      <c r="R50" s="2606"/>
      <c r="S50" s="2606"/>
      <c r="T50" s="2606"/>
      <c r="U50" s="2606"/>
      <c r="V50" s="2606"/>
      <c r="W50" s="2606"/>
      <c r="X50" s="2606"/>
      <c r="Y50" s="2606"/>
      <c r="Z50" s="2606"/>
      <c r="AA50" s="2606"/>
      <c r="AB50" s="2606"/>
      <c r="AC50" s="2606"/>
      <c r="AD50" s="2606"/>
    </row>
    <row r="51" spans="1:30">
      <c r="A51" s="387" t="s">
        <v>2169</v>
      </c>
      <c r="B51" s="468" t="s">
        <v>2135</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5.7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7.75" thickTop="1">
      <c r="A53" s="375"/>
      <c r="B53" s="477" t="s">
        <v>2138</v>
      </c>
      <c r="C53" s="478" t="s">
        <v>2170</v>
      </c>
      <c r="D53" s="478" t="s">
        <v>2171</v>
      </c>
      <c r="E53" s="478" t="s">
        <v>2172</v>
      </c>
      <c r="F53" s="478" t="s">
        <v>2173</v>
      </c>
      <c r="G53" s="478" t="s">
        <v>2174</v>
      </c>
      <c r="H53" s="478" t="s">
        <v>2175</v>
      </c>
      <c r="I53" s="478" t="s">
        <v>2176</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5.7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5.7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5.7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5.7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5.7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5.7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5" thickTop="1">
      <c r="A61" s="387" t="s">
        <v>2140</v>
      </c>
      <c r="B61" s="468" t="s">
        <v>2183</v>
      </c>
      <c r="C61" s="512" t="s">
        <v>2178</v>
      </c>
      <c r="D61" s="512" t="s">
        <v>2179</v>
      </c>
      <c r="E61" s="512" t="s">
        <v>2180</v>
      </c>
      <c r="F61" s="512" t="s">
        <v>2181</v>
      </c>
      <c r="G61" s="512" t="s">
        <v>2182</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7.75" thickTop="1">
      <c r="A63" s="375"/>
      <c r="B63" s="477" t="s">
        <v>2321</v>
      </c>
      <c r="C63" s="517" t="s">
        <v>2178</v>
      </c>
      <c r="D63" s="517" t="s">
        <v>2179</v>
      </c>
      <c r="E63" s="517" t="s">
        <v>2180</v>
      </c>
      <c r="F63" s="517" t="s">
        <v>2181</v>
      </c>
      <c r="G63" s="517" t="s">
        <v>2182</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5.75" thickTop="1">
      <c r="A65" s="375"/>
      <c r="B65" s="485" t="s">
        <v>2270</v>
      </c>
      <c r="C65" s="589" t="s">
        <v>2256</v>
      </c>
      <c r="D65" s="589" t="s">
        <v>2257</v>
      </c>
      <c r="E65" s="589" t="s">
        <v>2258</v>
      </c>
      <c r="F65" s="589" t="s">
        <v>2259</v>
      </c>
      <c r="G65" s="589" t="s">
        <v>2260</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5.75" thickTop="1">
      <c r="A67" s="375"/>
      <c r="B67" s="477" t="s">
        <v>2190</v>
      </c>
      <c r="C67" s="517" t="s">
        <v>2178</v>
      </c>
      <c r="D67" s="517" t="s">
        <v>2179</v>
      </c>
      <c r="E67" s="517" t="s">
        <v>2180</v>
      </c>
      <c r="F67" s="517" t="s">
        <v>2181</v>
      </c>
      <c r="G67" s="517" t="s">
        <v>2182</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5.75" thickTop="1">
      <c r="A69" s="375"/>
      <c r="B69" s="477" t="s">
        <v>2310</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5.7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5.75" thickTop="1">
      <c r="A71" s="378"/>
      <c r="B71" s="477">
        <f>B23</f>
        <v>111</v>
      </c>
      <c r="C71" s="488"/>
      <c r="D71" s="488"/>
      <c r="E71" s="488"/>
      <c r="F71" s="488"/>
      <c r="G71" s="493"/>
      <c r="H71" s="493"/>
      <c r="I71" s="493"/>
      <c r="J71" s="493"/>
      <c r="K71" s="493"/>
      <c r="L71" s="518"/>
      <c r="M71" s="519"/>
      <c r="N71" s="2687"/>
      <c r="O71" s="2687"/>
      <c r="P71" s="2687"/>
      <c r="Q71" s="2675"/>
      <c r="R71" s="2606"/>
      <c r="S71" s="2606"/>
      <c r="T71" s="2606"/>
      <c r="U71" s="2606"/>
      <c r="V71" s="2606"/>
      <c r="W71" s="2606"/>
      <c r="X71" s="2606"/>
      <c r="Y71" s="2606"/>
      <c r="Z71" s="2606"/>
      <c r="AA71" s="2606"/>
      <c r="AB71" s="2606"/>
      <c r="AC71" s="2606"/>
      <c r="AD71" s="2606"/>
    </row>
    <row r="72" spans="1:30" s="107" customFormat="1" ht="15.75" thickBot="1">
      <c r="A72" s="378"/>
      <c r="B72" s="482"/>
      <c r="C72" s="499"/>
      <c r="D72" s="475"/>
      <c r="E72" s="475"/>
      <c r="F72" s="475"/>
      <c r="G72" s="475"/>
      <c r="H72" s="475"/>
      <c r="I72" s="475"/>
      <c r="J72" s="475"/>
      <c r="K72" s="475"/>
      <c r="L72" s="475"/>
      <c r="M72" s="476"/>
      <c r="N72" s="2689"/>
      <c r="O72" s="2689"/>
      <c r="P72" s="2687"/>
      <c r="Q72" s="2675"/>
      <c r="R72" s="2606"/>
      <c r="S72" s="2606"/>
      <c r="T72" s="2606"/>
      <c r="U72" s="2606"/>
      <c r="V72" s="2606"/>
      <c r="W72" s="2606"/>
      <c r="X72" s="2606"/>
      <c r="Y72" s="2606"/>
      <c r="Z72" s="2606"/>
      <c r="AA72" s="2606"/>
      <c r="AB72" s="2606"/>
      <c r="AC72" s="2606"/>
      <c r="AD72" s="2606"/>
    </row>
    <row r="73" spans="1:30" s="107" customFormat="1" ht="15.75" thickTop="1">
      <c r="A73" s="378"/>
      <c r="B73" s="477">
        <f>B24</f>
        <v>111</v>
      </c>
      <c r="C73" s="488"/>
      <c r="D73" s="488"/>
      <c r="E73" s="488"/>
      <c r="F73" s="488"/>
      <c r="G73" s="493"/>
      <c r="H73" s="493"/>
      <c r="I73" s="493"/>
      <c r="J73" s="493"/>
      <c r="K73" s="493"/>
      <c r="L73" s="493"/>
      <c r="M73" s="519"/>
      <c r="N73" s="2687"/>
      <c r="O73" s="2687"/>
      <c r="P73" s="2687"/>
      <c r="Q73" s="2675"/>
      <c r="R73" s="2606"/>
      <c r="S73" s="2606"/>
      <c r="T73" s="2606"/>
      <c r="U73" s="2606"/>
      <c r="V73" s="2606"/>
      <c r="W73" s="2606"/>
      <c r="X73" s="2606"/>
      <c r="Y73" s="2606"/>
      <c r="Z73" s="2606"/>
      <c r="AA73" s="2606"/>
      <c r="AB73" s="2606"/>
      <c r="AC73" s="2606"/>
      <c r="AD73" s="2606"/>
    </row>
    <row r="74" spans="1:30" s="107" customFormat="1" ht="15.75" thickBot="1">
      <c r="A74" s="378"/>
      <c r="B74" s="482"/>
      <c r="C74" s="499"/>
      <c r="D74" s="475"/>
      <c r="E74" s="475"/>
      <c r="F74" s="475"/>
      <c r="G74" s="475"/>
      <c r="H74" s="475"/>
      <c r="I74" s="475"/>
      <c r="J74" s="475"/>
      <c r="K74" s="475"/>
      <c r="L74" s="475"/>
      <c r="M74" s="476"/>
      <c r="N74" s="2689"/>
      <c r="O74" s="2689"/>
      <c r="P74" s="2687"/>
      <c r="Q74" s="2675"/>
      <c r="R74" s="2606"/>
      <c r="S74" s="2606"/>
      <c r="T74" s="2606"/>
      <c r="U74" s="2606"/>
      <c r="V74" s="2606"/>
      <c r="W74" s="2606"/>
      <c r="X74" s="2606"/>
      <c r="Y74" s="2606"/>
      <c r="Z74" s="2606"/>
      <c r="AA74" s="2606"/>
      <c r="AB74" s="2606"/>
      <c r="AC74" s="2606"/>
      <c r="AD74" s="2606"/>
    </row>
    <row r="75" spans="1:30" s="416" customFormat="1" ht="15.7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5.7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5" thickTop="1">
      <c r="A77" s="387" t="s">
        <v>2144</v>
      </c>
      <c r="B77" s="468" t="s">
        <v>2197</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9"/>
      <c r="O78" s="2689"/>
      <c r="P78" s="2687"/>
      <c r="Q78" s="2675"/>
      <c r="R78" s="2654"/>
      <c r="S78" s="2654"/>
      <c r="T78" s="2654"/>
      <c r="U78" s="2654"/>
      <c r="V78" s="2654"/>
      <c r="W78" s="2654"/>
      <c r="X78" s="2654"/>
      <c r="Y78" s="2654"/>
      <c r="Z78" s="2654"/>
      <c r="AA78" s="2654"/>
      <c r="AB78" s="2654"/>
      <c r="AC78" s="2654"/>
      <c r="AD78" s="2654"/>
    </row>
    <row r="79" spans="1:30" ht="15.75" thickTop="1">
      <c r="A79" s="375"/>
      <c r="B79" s="477" t="s">
        <v>2313</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ht="15">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9"/>
      <c r="O81" s="2689"/>
      <c r="P81" s="2690"/>
      <c r="Q81" s="2682"/>
      <c r="R81" s="2660"/>
      <c r="S81" s="2660"/>
      <c r="T81" s="2660"/>
      <c r="U81" s="2660"/>
      <c r="V81" s="2660"/>
      <c r="W81" s="2660"/>
      <c r="X81" s="2660"/>
      <c r="Y81" s="2660"/>
      <c r="Z81" s="2660"/>
      <c r="AA81" s="2660"/>
      <c r="AB81" s="2660"/>
      <c r="AC81" s="2660"/>
      <c r="AD81" s="2660"/>
    </row>
    <row r="82" spans="1:30" ht="15" thickTop="1">
      <c r="A82" s="417"/>
      <c r="B82" s="485" t="s">
        <v>2314</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9"/>
      <c r="O83" s="2689"/>
      <c r="P83" s="2687"/>
      <c r="Q83" s="2675"/>
      <c r="R83" s="2654"/>
      <c r="S83" s="2654"/>
      <c r="T83" s="2654"/>
      <c r="U83" s="2654"/>
      <c r="V83" s="2654"/>
      <c r="W83" s="2654"/>
      <c r="X83" s="2654"/>
      <c r="Y83" s="2654"/>
      <c r="Z83" s="2654"/>
      <c r="AA83" s="2654"/>
      <c r="AB83" s="2654"/>
      <c r="AC83" s="2654"/>
      <c r="AD83" s="2654"/>
    </row>
    <row r="84" spans="1:30" ht="15" thickTop="1">
      <c r="A84" s="417"/>
      <c r="B84" s="477" t="s">
        <v>2322</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9"/>
      <c r="O85" s="2689"/>
      <c r="P85" s="2687"/>
      <c r="Q85" s="2675"/>
      <c r="R85" s="2654"/>
      <c r="S85" s="2654"/>
      <c r="T85" s="2654"/>
      <c r="U85" s="2654"/>
      <c r="V85" s="2654"/>
      <c r="W85" s="2654"/>
      <c r="X85" s="2654"/>
      <c r="Y85" s="2654"/>
      <c r="Z85" s="2654"/>
      <c r="AA85" s="2654"/>
      <c r="AB85" s="2654"/>
      <c r="AC85" s="2654"/>
      <c r="AD85" s="2654"/>
    </row>
    <row r="86" spans="1:30" ht="15" thickTop="1">
      <c r="A86" s="417"/>
      <c r="B86" s="485" t="s">
        <v>2323</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5.7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5" thickTop="1">
      <c r="A89" s="414"/>
      <c r="B89" s="477" t="s">
        <v>2324</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5.7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5.7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5.7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5.7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D13" sqref="D13"/>
    </sheetView>
  </sheetViews>
  <sheetFormatPr defaultColWidth="9" defaultRowHeight="14.25"/>
  <cols>
    <col min="1" max="1" width="14.375" style="353" customWidth="1"/>
    <col min="2" max="2" width="15.875" style="353" customWidth="1"/>
    <col min="3" max="3" width="14.375" style="353" customWidth="1"/>
    <col min="4" max="4" width="14.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5" t="s">
        <v>2325</v>
      </c>
      <c r="B1" s="346"/>
      <c r="C1" s="347" t="s">
        <v>2326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17" t="s">
        <v>2228</v>
      </c>
      <c r="S4" s="3218"/>
      <c r="T4" s="3217" t="s">
        <v>2229</v>
      </c>
      <c r="U4" s="3218"/>
      <c r="V4" s="3242" t="s">
        <v>2230</v>
      </c>
      <c r="W4" s="3242"/>
      <c r="X4" s="1394"/>
      <c r="Y4" s="3217" t="s">
        <v>2232</v>
      </c>
      <c r="Z4" s="3218"/>
      <c r="AA4" s="3212" t="s">
        <v>2228</v>
      </c>
      <c r="AB4" s="3213" t="s">
        <v>2229</v>
      </c>
      <c r="AC4" s="3212" t="s">
        <v>2230</v>
      </c>
    </row>
    <row r="5" spans="1:29" ht="15">
      <c r="A5" s="354"/>
      <c r="B5" s="355"/>
      <c r="C5" s="3223" t="s">
        <v>2123</v>
      </c>
      <c r="D5" s="3224"/>
      <c r="E5" s="3221" t="s">
        <v>2124</v>
      </c>
      <c r="F5" s="3222"/>
      <c r="G5" s="3223" t="s">
        <v>2125</v>
      </c>
      <c r="H5" s="3224"/>
      <c r="I5" s="3223" t="s">
        <v>2126</v>
      </c>
      <c r="J5" s="3224"/>
      <c r="K5" s="545"/>
      <c r="L5" s="2653"/>
      <c r="M5" s="2654"/>
      <c r="N5" s="2654"/>
      <c r="O5" s="2654"/>
      <c r="P5" s="3236"/>
      <c r="Q5" s="3237"/>
      <c r="R5" s="3219"/>
      <c r="S5" s="3220"/>
      <c r="T5" s="3219"/>
      <c r="U5" s="3220"/>
      <c r="V5" s="3242"/>
      <c r="W5" s="3242"/>
      <c r="X5" s="1394"/>
      <c r="Y5" s="3219"/>
      <c r="Z5" s="3220"/>
      <c r="AA5" s="3213"/>
      <c r="AB5" s="3213"/>
      <c r="AC5" s="3213"/>
    </row>
    <row r="6" spans="1:29" ht="15.75" thickBot="1">
      <c r="A6" s="356"/>
      <c r="B6" s="357"/>
      <c r="C6" s="3225" t="s">
        <v>2127</v>
      </c>
      <c r="D6" s="3226"/>
      <c r="E6" s="3227" t="s">
        <v>2127</v>
      </c>
      <c r="F6" s="3228"/>
      <c r="G6" s="3225" t="s">
        <v>2127</v>
      </c>
      <c r="H6" s="3226"/>
      <c r="I6" s="3225" t="s">
        <v>2127</v>
      </c>
      <c r="J6" s="3226"/>
      <c r="K6" s="545" t="s">
        <v>2128</v>
      </c>
      <c r="L6" s="2653"/>
      <c r="M6" s="2654"/>
      <c r="N6" s="2654"/>
      <c r="O6" s="2654"/>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SUMIF(69:69,YEAR(E7)&amp;"-"&amp;INT((MONTH(E7)+2)/3),70:70)</f>
        <v>0</v>
      </c>
      <c r="G7" s="1952"/>
      <c r="H7" s="361">
        <f>SUMIF(69:69,YEAR(G7)&amp;"-"&amp;INT((MONTH(G7)+2)/3),70:70)</f>
        <v>0</v>
      </c>
      <c r="I7" s="1952"/>
      <c r="J7" s="361">
        <f>SUMIF(69:69,YEAR(I7)&amp;"-"&amp;INT((MONTH(I7)+2)/3),70:70)</f>
        <v>0</v>
      </c>
      <c r="K7" s="41"/>
      <c r="L7" s="2655"/>
      <c r="M7" s="2606"/>
      <c r="N7" s="2606"/>
      <c r="O7" s="2606"/>
      <c r="P7" s="3215" t="s">
        <v>2130</v>
      </c>
      <c r="Q7" s="3243"/>
      <c r="R7" s="673" t="s">
        <v>17</v>
      </c>
      <c r="S7" s="674">
        <f t="shared" ref="S7:S15" si="0">F7</f>
        <v>0</v>
      </c>
      <c r="T7" s="673" t="s">
        <v>17</v>
      </c>
      <c r="U7" s="674">
        <f t="shared" ref="U7:U15" si="1">H7</f>
        <v>0</v>
      </c>
      <c r="V7" s="673" t="s">
        <v>17</v>
      </c>
      <c r="W7" s="674">
        <f t="shared" ref="W7:W15" si="2">J7</f>
        <v>0</v>
      </c>
      <c r="X7" s="675"/>
      <c r="Y7" s="3215" t="s">
        <v>2130</v>
      </c>
      <c r="Z7" s="3216"/>
      <c r="AA7" s="53" t="e">
        <f>D7/F7</f>
        <v>#DIV/0!</v>
      </c>
      <c r="AB7" s="53" t="e">
        <f>D7/H7</f>
        <v>#DIV/0!</v>
      </c>
      <c r="AC7" s="53" t="e">
        <f>D7/J7</f>
        <v>#DIV/0!</v>
      </c>
    </row>
    <row r="8" spans="1:29" s="107" customFormat="1" ht="15.75" thickBot="1">
      <c r="A8" s="358" t="s">
        <v>2131</v>
      </c>
      <c r="B8" s="359"/>
      <c r="C8" s="364" t="s">
        <v>2132</v>
      </c>
      <c r="D8" s="361">
        <v>100</v>
      </c>
      <c r="E8" s="364"/>
      <c r="F8" s="363">
        <f>SUMIF(72:72,E8,73:73)-SUMIF(72:72,C8,73:73)+100</f>
        <v>0</v>
      </c>
      <c r="G8" s="364"/>
      <c r="H8" s="361">
        <f>SUMIF(72:72,G8,73:73)-SUMIF(72:72,C8,73:73)+100</f>
        <v>0</v>
      </c>
      <c r="I8" s="364"/>
      <c r="J8" s="361">
        <f>SUMIF(72:72,I8,73:73)-SUMIF(72:72,C8,73:73)+100</f>
        <v>0</v>
      </c>
      <c r="K8" s="41"/>
      <c r="L8" s="2655"/>
      <c r="M8" s="2606"/>
      <c r="N8" s="2606"/>
      <c r="O8" s="2606"/>
      <c r="P8" s="3215" t="s">
        <v>2133</v>
      </c>
      <c r="Q8" s="3216"/>
      <c r="R8" s="673" t="s">
        <v>17</v>
      </c>
      <c r="S8" s="674">
        <f t="shared" si="0"/>
        <v>0</v>
      </c>
      <c r="T8" s="673" t="s">
        <v>17</v>
      </c>
      <c r="U8" s="674">
        <f t="shared" si="1"/>
        <v>0</v>
      </c>
      <c r="V8" s="673" t="s">
        <v>17</v>
      </c>
      <c r="W8" s="674">
        <f t="shared" si="2"/>
        <v>0</v>
      </c>
      <c r="X8" s="675"/>
      <c r="Y8" s="3215" t="s">
        <v>2133</v>
      </c>
      <c r="Z8" s="3216"/>
      <c r="AA8" s="53" t="e">
        <f t="shared" ref="AA8:AA45" si="3">D8/F8</f>
        <v>#DIV/0!</v>
      </c>
      <c r="AB8" s="53" t="e">
        <f t="shared" ref="AB8:AB45" si="4">D8/H8</f>
        <v>#DIV/0!</v>
      </c>
      <c r="AC8" s="53" t="e">
        <f t="shared" ref="AC8:AC45" si="5">D8/J8</f>
        <v>#DIV/0!</v>
      </c>
    </row>
    <row r="9" spans="1:29" s="107" customFormat="1">
      <c r="A9" s="365" t="s">
        <v>2134</v>
      </c>
      <c r="B9" s="64" t="s">
        <v>2135</v>
      </c>
      <c r="C9" s="1955"/>
      <c r="D9" s="63">
        <v>100</v>
      </c>
      <c r="E9" s="1955"/>
      <c r="F9" s="63">
        <f>SUMIF(74:74,E9,75:75)-SUMIF(74:74,C9,75:75)+100</f>
        <v>100</v>
      </c>
      <c r="G9" s="1955"/>
      <c r="H9" s="63">
        <f>SUMIF(74:74,G9,75:75)-SUMIF(74:74,C9,75:75)+100</f>
        <v>100</v>
      </c>
      <c r="I9" s="1955"/>
      <c r="J9" s="63">
        <f>SUMIF(74:74,I9,75:75)-SUMIF(74:74,C9,75:75)+100</f>
        <v>100</v>
      </c>
      <c r="K9" s="41"/>
      <c r="L9" s="2655"/>
      <c r="M9" s="2606"/>
      <c r="N9" s="2606"/>
      <c r="O9" s="2707"/>
      <c r="P9" s="3247"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53">
        <f t="shared" si="5"/>
        <v>1</v>
      </c>
    </row>
    <row r="10" spans="1:29" s="374" customFormat="1" ht="27">
      <c r="A10" s="369"/>
      <c r="B10" s="370" t="s">
        <v>2138</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47"/>
      <c r="Q10" s="538" t="str">
        <f t="shared" si="6"/>
        <v>土地使用年限（年）</v>
      </c>
      <c r="R10" s="673" t="s">
        <v>17</v>
      </c>
      <c r="S10" s="674" t="e">
        <f t="shared" si="0"/>
        <v>#DIV/0!</v>
      </c>
      <c r="T10" s="673" t="s">
        <v>17</v>
      </c>
      <c r="U10" s="674" t="e">
        <f t="shared" si="1"/>
        <v>#DIV/0!</v>
      </c>
      <c r="V10" s="673" t="s">
        <v>17</v>
      </c>
      <c r="W10" s="674" t="e">
        <f t="shared" si="2"/>
        <v>#DIV/0!</v>
      </c>
      <c r="X10" s="675"/>
      <c r="Y10" s="3159"/>
      <c r="Z10" s="53" t="str">
        <f t="shared" si="7"/>
        <v>土地使用年限（年）</v>
      </c>
      <c r="AA10" s="53" t="e">
        <f t="shared" si="3"/>
        <v>#DIV/0!</v>
      </c>
      <c r="AB10" s="53" t="e">
        <f t="shared" si="4"/>
        <v>#DIV/0!</v>
      </c>
      <c r="AC10" s="53" t="e">
        <f t="shared" si="5"/>
        <v>#DIV/0!</v>
      </c>
    </row>
    <row r="11" spans="1:29" ht="15">
      <c r="A11" s="375"/>
      <c r="B11" s="370" t="s">
        <v>2139</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47"/>
      <c r="Q11" s="538" t="str">
        <f t="shared" si="6"/>
        <v>容积率</v>
      </c>
      <c r="R11" s="673" t="s">
        <v>17</v>
      </c>
      <c r="S11" s="674" t="e">
        <f t="shared" si="0"/>
        <v>#N/A</v>
      </c>
      <c r="T11" s="673" t="s">
        <v>17</v>
      </c>
      <c r="U11" s="674" t="e">
        <f t="shared" si="1"/>
        <v>#N/A</v>
      </c>
      <c r="V11" s="673" t="s">
        <v>17</v>
      </c>
      <c r="W11" s="674" t="e">
        <f t="shared" si="2"/>
        <v>#N/A</v>
      </c>
      <c r="X11" s="675"/>
      <c r="Y11" s="3159"/>
      <c r="Z11" s="53" t="str">
        <f t="shared" si="7"/>
        <v>容积率</v>
      </c>
      <c r="AA11" s="53" t="e">
        <f t="shared" si="3"/>
        <v>#N/A</v>
      </c>
      <c r="AB11" s="53" t="e">
        <f t="shared" si="4"/>
        <v>#N/A</v>
      </c>
      <c r="AC11" s="53" t="e">
        <f t="shared" si="5"/>
        <v>#N/A</v>
      </c>
    </row>
    <row r="12" spans="1:29" s="107" customFormat="1" ht="15">
      <c r="A12" s="378"/>
      <c r="B12" s="455" t="s">
        <v>2328</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6"/>
      <c r="N12" s="2606"/>
      <c r="O12" s="2707"/>
      <c r="P12" s="3247"/>
      <c r="Q12" s="538" t="str">
        <f t="shared" si="6"/>
        <v>配建</v>
      </c>
      <c r="R12" s="673" t="s">
        <v>17</v>
      </c>
      <c r="S12" s="674">
        <f t="shared" si="0"/>
        <v>100</v>
      </c>
      <c r="T12" s="673" t="s">
        <v>17</v>
      </c>
      <c r="U12" s="674">
        <f t="shared" si="1"/>
        <v>100</v>
      </c>
      <c r="V12" s="673" t="s">
        <v>17</v>
      </c>
      <c r="W12" s="674">
        <f t="shared" si="2"/>
        <v>100</v>
      </c>
      <c r="X12" s="675"/>
      <c r="Y12" s="3159"/>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47"/>
      <c r="Q13" s="538">
        <f t="shared" si="6"/>
        <v>111</v>
      </c>
      <c r="R13" s="673" t="s">
        <v>17</v>
      </c>
      <c r="S13" s="674">
        <f t="shared" si="0"/>
        <v>100</v>
      </c>
      <c r="T13" s="673" t="s">
        <v>17</v>
      </c>
      <c r="U13" s="674">
        <f t="shared" si="1"/>
        <v>100</v>
      </c>
      <c r="V13" s="673" t="s">
        <v>17</v>
      </c>
      <c r="W13" s="674">
        <f t="shared" si="2"/>
        <v>100</v>
      </c>
      <c r="X13" s="675"/>
      <c r="Y13" s="3159"/>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47"/>
      <c r="Q14" s="538">
        <f t="shared" si="6"/>
        <v>111</v>
      </c>
      <c r="R14" s="673" t="s">
        <v>17</v>
      </c>
      <c r="S14" s="674">
        <f t="shared" si="0"/>
        <v>100</v>
      </c>
      <c r="T14" s="673" t="s">
        <v>17</v>
      </c>
      <c r="U14" s="674">
        <f t="shared" si="1"/>
        <v>100</v>
      </c>
      <c r="V14" s="673" t="s">
        <v>17</v>
      </c>
      <c r="W14" s="674">
        <f t="shared" si="2"/>
        <v>100</v>
      </c>
      <c r="X14" s="675"/>
      <c r="Y14" s="3159"/>
      <c r="Z14" s="53">
        <f t="shared" si="7"/>
        <v>111</v>
      </c>
      <c r="AA14" s="53">
        <f>D14/F14</f>
        <v>1</v>
      </c>
      <c r="AB14" s="53">
        <f>D14/H14</f>
        <v>1</v>
      </c>
      <c r="AC14" s="53">
        <f>D14/J14</f>
        <v>1</v>
      </c>
    </row>
    <row r="15" spans="1:29" ht="99.75">
      <c r="A15" s="387" t="s">
        <v>2140</v>
      </c>
      <c r="B15" s="62" t="s">
        <v>1703</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48" t="s">
        <v>2141</v>
      </c>
      <c r="Q15" s="1392" t="str">
        <f t="shared" si="6"/>
        <v>居住社区成熟度</v>
      </c>
      <c r="R15" s="676" t="s">
        <v>17</v>
      </c>
      <c r="S15" s="677">
        <f t="shared" si="0"/>
        <v>100</v>
      </c>
      <c r="T15" s="676" t="s">
        <v>17</v>
      </c>
      <c r="U15" s="677">
        <f t="shared" si="1"/>
        <v>100</v>
      </c>
      <c r="V15" s="676" t="s">
        <v>17</v>
      </c>
      <c r="W15" s="677">
        <f t="shared" si="2"/>
        <v>100</v>
      </c>
      <c r="X15" s="1394"/>
      <c r="Y15" s="3248" t="s">
        <v>2141</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59"/>
      <c r="M16" s="2654"/>
      <c r="N16" s="2654"/>
      <c r="O16" s="2709"/>
      <c r="P16" s="3249"/>
      <c r="Q16" s="1392"/>
      <c r="R16" s="676"/>
      <c r="S16" s="677"/>
      <c r="T16" s="676"/>
      <c r="U16" s="677"/>
      <c r="V16" s="676"/>
      <c r="W16" s="677"/>
      <c r="X16" s="1394"/>
      <c r="Y16" s="3249"/>
      <c r="Z16" s="1393"/>
      <c r="AA16" s="1393">
        <v>1</v>
      </c>
      <c r="AB16" s="1393">
        <v>1</v>
      </c>
      <c r="AC16" s="1393">
        <v>1</v>
      </c>
    </row>
    <row r="17" spans="1:29" ht="71.25">
      <c r="A17" s="375"/>
      <c r="B17" s="398" t="s">
        <v>2234</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49"/>
      <c r="Q17" s="1392" t="str">
        <f>B17</f>
        <v>商业繁华度</v>
      </c>
      <c r="R17" s="676" t="s">
        <v>17</v>
      </c>
      <c r="S17" s="677">
        <f>F17</f>
        <v>100</v>
      </c>
      <c r="T17" s="676" t="s">
        <v>17</v>
      </c>
      <c r="U17" s="677">
        <f>H17</f>
        <v>100</v>
      </c>
      <c r="V17" s="676" t="s">
        <v>17</v>
      </c>
      <c r="W17" s="677">
        <f>J17</f>
        <v>100</v>
      </c>
      <c r="X17" s="1394"/>
      <c r="Y17" s="3249"/>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59"/>
      <c r="M18" s="2654"/>
      <c r="N18" s="2654"/>
      <c r="O18" s="2709"/>
      <c r="P18" s="3249"/>
      <c r="Q18" s="1392"/>
      <c r="R18" s="676"/>
      <c r="S18" s="677"/>
      <c r="T18" s="676"/>
      <c r="U18" s="677"/>
      <c r="V18" s="676"/>
      <c r="W18" s="677"/>
      <c r="X18" s="1394"/>
      <c r="Y18" s="3249"/>
      <c r="Z18" s="1393"/>
      <c r="AA18" s="1393">
        <v>1</v>
      </c>
      <c r="AB18" s="1393">
        <v>1</v>
      </c>
      <c r="AC18" s="1393">
        <v>1</v>
      </c>
    </row>
    <row r="19" spans="1:29" ht="71.25">
      <c r="A19" s="375"/>
      <c r="B19" s="398" t="s">
        <v>2268</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49"/>
      <c r="Q19" s="1392" t="str">
        <f>B19</f>
        <v>办公集聚程度</v>
      </c>
      <c r="R19" s="676" t="s">
        <v>17</v>
      </c>
      <c r="S19" s="677">
        <f>F19</f>
        <v>100</v>
      </c>
      <c r="T19" s="676" t="s">
        <v>17</v>
      </c>
      <c r="U19" s="677">
        <f>H19</f>
        <v>100</v>
      </c>
      <c r="V19" s="676" t="s">
        <v>17</v>
      </c>
      <c r="W19" s="677">
        <f>J19</f>
        <v>100</v>
      </c>
      <c r="X19" s="1394"/>
      <c r="Y19" s="3249"/>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59"/>
      <c r="M20" s="2654"/>
      <c r="N20" s="2654"/>
      <c r="O20" s="2709"/>
      <c r="P20" s="3249"/>
      <c r="Q20" s="1392"/>
      <c r="R20" s="676"/>
      <c r="S20" s="677"/>
      <c r="T20" s="676"/>
      <c r="U20" s="677"/>
      <c r="V20" s="676"/>
      <c r="W20" s="677"/>
      <c r="X20" s="1394"/>
      <c r="Y20" s="3249"/>
      <c r="Z20" s="1393"/>
      <c r="AA20" s="1393">
        <v>1</v>
      </c>
      <c r="AB20" s="1393">
        <v>1</v>
      </c>
      <c r="AC20" s="1393">
        <v>1</v>
      </c>
    </row>
    <row r="21" spans="1:29" ht="85.5">
      <c r="A21" s="375"/>
      <c r="B21" s="398" t="s">
        <v>2290</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49"/>
      <c r="Q21" s="1392" t="str">
        <f>B21</f>
        <v>交通便捷度</v>
      </c>
      <c r="R21" s="676" t="s">
        <v>17</v>
      </c>
      <c r="S21" s="677">
        <f>F21</f>
        <v>100</v>
      </c>
      <c r="T21" s="676" t="s">
        <v>17</v>
      </c>
      <c r="U21" s="677">
        <f>H21</f>
        <v>100</v>
      </c>
      <c r="V21" s="676" t="s">
        <v>17</v>
      </c>
      <c r="W21" s="677">
        <f>J21</f>
        <v>100</v>
      </c>
      <c r="X21" s="1394"/>
      <c r="Y21" s="3249"/>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59"/>
      <c r="M22" s="2654"/>
      <c r="N22" s="2654"/>
      <c r="O22" s="2709"/>
      <c r="P22" s="3249"/>
      <c r="Q22" s="1392"/>
      <c r="R22" s="676"/>
      <c r="S22" s="677"/>
      <c r="T22" s="676"/>
      <c r="U22" s="677"/>
      <c r="V22" s="676"/>
      <c r="W22" s="677"/>
      <c r="X22" s="1394"/>
      <c r="Y22" s="3249"/>
      <c r="Z22" s="1393"/>
      <c r="AA22" s="1393">
        <v>1</v>
      </c>
      <c r="AB22" s="1393">
        <v>1</v>
      </c>
      <c r="AC22" s="1393">
        <v>1</v>
      </c>
    </row>
    <row r="23" spans="1:29" ht="15">
      <c r="A23" s="354"/>
      <c r="B23" s="398" t="s">
        <v>2329</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49"/>
      <c r="Q23" s="1392" t="str">
        <f t="shared" ref="Q23:Q37" si="8">B23</f>
        <v>区域土地利用方向</v>
      </c>
      <c r="R23" s="676" t="s">
        <v>17</v>
      </c>
      <c r="S23" s="677">
        <f>F23</f>
        <v>100</v>
      </c>
      <c r="T23" s="676" t="s">
        <v>17</v>
      </c>
      <c r="U23" s="677">
        <f>H23</f>
        <v>100</v>
      </c>
      <c r="V23" s="676" t="s">
        <v>17</v>
      </c>
      <c r="W23" s="677">
        <f>J23</f>
        <v>100</v>
      </c>
      <c r="X23" s="1394"/>
      <c r="Y23" s="3249"/>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59"/>
      <c r="M24" s="2654"/>
      <c r="N24" s="2654"/>
      <c r="O24" s="2709"/>
      <c r="P24" s="3249"/>
      <c r="Q24" s="1392"/>
      <c r="R24" s="676"/>
      <c r="S24" s="677"/>
      <c r="T24" s="676"/>
      <c r="U24" s="677"/>
      <c r="V24" s="676"/>
      <c r="W24" s="677"/>
      <c r="X24" s="1394"/>
      <c r="Y24" s="3249"/>
      <c r="Z24" s="1393"/>
      <c r="AA24" s="1393"/>
      <c r="AB24" s="1393"/>
      <c r="AC24" s="1393"/>
    </row>
    <row r="25" spans="1:29" ht="57">
      <c r="A25" s="354"/>
      <c r="B25" s="594" t="s">
        <v>2330</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49"/>
      <c r="Q25" s="1392" t="str">
        <f t="shared" si="8"/>
        <v>自然及人文环境状况</v>
      </c>
      <c r="R25" s="676" t="s">
        <v>17</v>
      </c>
      <c r="S25" s="677">
        <f>F25</f>
        <v>100</v>
      </c>
      <c r="T25" s="676" t="s">
        <v>17</v>
      </c>
      <c r="U25" s="677">
        <f>H25</f>
        <v>100</v>
      </c>
      <c r="V25" s="676" t="s">
        <v>17</v>
      </c>
      <c r="W25" s="677">
        <f>J25</f>
        <v>100</v>
      </c>
      <c r="X25" s="1394"/>
      <c r="Y25" s="3249"/>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59"/>
      <c r="M26" s="2654"/>
      <c r="N26" s="2654"/>
      <c r="O26" s="2709"/>
      <c r="P26" s="3249"/>
      <c r="Q26" s="1392"/>
      <c r="R26" s="676"/>
      <c r="S26" s="677"/>
      <c r="T26" s="676"/>
      <c r="U26" s="677"/>
      <c r="V26" s="676"/>
      <c r="W26" s="677"/>
      <c r="X26" s="1394"/>
      <c r="Y26" s="3249"/>
      <c r="Z26" s="1393"/>
      <c r="AA26" s="1393">
        <v>1</v>
      </c>
      <c r="AB26" s="1393">
        <v>1</v>
      </c>
      <c r="AC26" s="1393">
        <v>1</v>
      </c>
    </row>
    <row r="27" spans="1:29" s="107" customFormat="1" ht="42.75">
      <c r="A27" s="451"/>
      <c r="B27" s="594" t="s">
        <v>2235</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6"/>
      <c r="N27" s="2606"/>
      <c r="O27" s="2707"/>
      <c r="P27" s="3249"/>
      <c r="Q27" s="538" t="str">
        <f t="shared" si="8"/>
        <v>公共配套设施</v>
      </c>
      <c r="R27" s="673" t="s">
        <v>17</v>
      </c>
      <c r="S27" s="674">
        <f>F27</f>
        <v>100</v>
      </c>
      <c r="T27" s="673" t="s">
        <v>17</v>
      </c>
      <c r="U27" s="674">
        <f>H27</f>
        <v>100</v>
      </c>
      <c r="V27" s="673" t="s">
        <v>17</v>
      </c>
      <c r="W27" s="674">
        <f>J27</f>
        <v>100</v>
      </c>
      <c r="X27" s="675"/>
      <c r="Y27" s="3249"/>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5"/>
      <c r="M28" s="2606"/>
      <c r="N28" s="2606"/>
      <c r="O28" s="2707"/>
      <c r="P28" s="3249"/>
      <c r="Q28" s="538"/>
      <c r="R28" s="673"/>
      <c r="S28" s="674"/>
      <c r="T28" s="673"/>
      <c r="U28" s="674"/>
      <c r="V28" s="673"/>
      <c r="W28" s="674"/>
      <c r="X28" s="675"/>
      <c r="Y28" s="3249"/>
      <c r="Z28" s="53"/>
      <c r="AA28" s="1393">
        <v>1</v>
      </c>
      <c r="AB28" s="1393">
        <v>1</v>
      </c>
      <c r="AC28" s="1393">
        <v>1</v>
      </c>
    </row>
    <row r="29" spans="1:29" s="107" customFormat="1" ht="28.5">
      <c r="A29" s="451"/>
      <c r="B29" s="594" t="s">
        <v>2236</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6"/>
      <c r="N29" s="2606"/>
      <c r="O29" s="2707"/>
      <c r="P29" s="3249"/>
      <c r="Q29" s="538" t="str">
        <f t="shared" ref="Q29" si="9">B29</f>
        <v>基础设施水平</v>
      </c>
      <c r="R29" s="673" t="s">
        <v>17</v>
      </c>
      <c r="S29" s="674">
        <f>F29</f>
        <v>100</v>
      </c>
      <c r="T29" s="673" t="s">
        <v>17</v>
      </c>
      <c r="U29" s="674">
        <f>H29</f>
        <v>100</v>
      </c>
      <c r="V29" s="673" t="s">
        <v>17</v>
      </c>
      <c r="W29" s="674">
        <f>J29</f>
        <v>100</v>
      </c>
      <c r="X29" s="675"/>
      <c r="Y29" s="3249"/>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5"/>
      <c r="M30" s="2606"/>
      <c r="N30" s="2606"/>
      <c r="O30" s="2707"/>
      <c r="P30" s="3249"/>
      <c r="Q30" s="538"/>
      <c r="R30" s="673"/>
      <c r="S30" s="674"/>
      <c r="T30" s="673"/>
      <c r="U30" s="674"/>
      <c r="V30" s="673"/>
      <c r="W30" s="674"/>
      <c r="X30" s="675"/>
      <c r="Y30" s="3249"/>
      <c r="Z30" s="53"/>
      <c r="AA30" s="1393">
        <v>1</v>
      </c>
      <c r="AB30" s="1393">
        <v>1</v>
      </c>
      <c r="AC30" s="1393">
        <v>1</v>
      </c>
    </row>
    <row r="31" spans="1:29" ht="15">
      <c r="A31" s="375"/>
      <c r="B31" s="403" t="s">
        <v>2237</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49"/>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49"/>
      <c r="Z31" s="1393" t="str">
        <f t="shared" ref="Z31:Z45" si="13">Q31</f>
        <v>临街状况</v>
      </c>
      <c r="AA31" s="1393">
        <f t="shared" si="3"/>
        <v>1</v>
      </c>
      <c r="AB31" s="1393">
        <f t="shared" si="4"/>
        <v>1</v>
      </c>
      <c r="AC31" s="1393">
        <f t="shared" si="5"/>
        <v>1</v>
      </c>
    </row>
    <row r="32" spans="1:29" ht="27">
      <c r="A32" s="375"/>
      <c r="B32" s="594" t="s">
        <v>2272</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49"/>
      <c r="Q32" s="1392" t="str">
        <f t="shared" si="8"/>
        <v>毗邻道路的类型与等级</v>
      </c>
      <c r="R32" s="676" t="s">
        <v>17</v>
      </c>
      <c r="S32" s="677">
        <f t="shared" si="10"/>
        <v>100</v>
      </c>
      <c r="T32" s="676" t="s">
        <v>17</v>
      </c>
      <c r="U32" s="677">
        <f t="shared" si="11"/>
        <v>100</v>
      </c>
      <c r="V32" s="676" t="s">
        <v>17</v>
      </c>
      <c r="W32" s="677">
        <f t="shared" si="12"/>
        <v>100</v>
      </c>
      <c r="X32" s="1394"/>
      <c r="Y32" s="3249"/>
      <c r="Z32" s="1393" t="str">
        <f t="shared" si="13"/>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59"/>
      <c r="M33" s="2654"/>
      <c r="N33" s="2654"/>
      <c r="O33" s="2709"/>
      <c r="P33" s="3249"/>
      <c r="Q33" s="1392"/>
      <c r="R33" s="676"/>
      <c r="S33" s="677"/>
      <c r="T33" s="676"/>
      <c r="U33" s="677"/>
      <c r="V33" s="676"/>
      <c r="W33" s="677"/>
      <c r="X33" s="1394"/>
      <c r="Y33" s="3249"/>
      <c r="Z33" s="1393"/>
      <c r="AA33" s="1393">
        <v>1</v>
      </c>
      <c r="AB33" s="1393">
        <v>1</v>
      </c>
      <c r="AC33" s="1393">
        <v>1</v>
      </c>
    </row>
    <row r="34" spans="1:29" ht="15">
      <c r="A34" s="375"/>
      <c r="B34" s="370" t="s">
        <v>2331</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49"/>
      <c r="Q34" s="1392" t="str">
        <f t="shared" si="8"/>
        <v>土地级别</v>
      </c>
      <c r="R34" s="676" t="s">
        <v>17</v>
      </c>
      <c r="S34" s="677">
        <f t="shared" si="10"/>
        <v>100</v>
      </c>
      <c r="T34" s="676" t="s">
        <v>17</v>
      </c>
      <c r="U34" s="677">
        <f t="shared" si="11"/>
        <v>100</v>
      </c>
      <c r="V34" s="676" t="s">
        <v>17</v>
      </c>
      <c r="W34" s="677">
        <f t="shared" si="12"/>
        <v>100</v>
      </c>
      <c r="X34" s="1394"/>
      <c r="Y34" s="3249"/>
      <c r="Z34" s="1393" t="str">
        <f t="shared" si="13"/>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49"/>
      <c r="Q35" s="1392">
        <f t="shared" si="8"/>
        <v>111</v>
      </c>
      <c r="R35" s="676" t="s">
        <v>17</v>
      </c>
      <c r="S35" s="677">
        <f t="shared" si="10"/>
        <v>100</v>
      </c>
      <c r="T35" s="676" t="s">
        <v>17</v>
      </c>
      <c r="U35" s="677">
        <f t="shared" si="11"/>
        <v>100</v>
      </c>
      <c r="V35" s="676" t="s">
        <v>17</v>
      </c>
      <c r="W35" s="677">
        <f t="shared" si="12"/>
        <v>100</v>
      </c>
      <c r="X35" s="1394"/>
      <c r="Y35" s="3249"/>
      <c r="Z35" s="1393">
        <f t="shared" si="13"/>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275" t="s">
        <v>2146</v>
      </c>
      <c r="Q36" s="1392">
        <f t="shared" si="8"/>
        <v>111</v>
      </c>
      <c r="R36" s="676" t="s">
        <v>17</v>
      </c>
      <c r="S36" s="677">
        <f t="shared" si="10"/>
        <v>100</v>
      </c>
      <c r="T36" s="676" t="s">
        <v>17</v>
      </c>
      <c r="U36" s="677">
        <f t="shared" si="11"/>
        <v>100</v>
      </c>
      <c r="V36" s="676" t="s">
        <v>17</v>
      </c>
      <c r="W36" s="677">
        <f t="shared" si="12"/>
        <v>100</v>
      </c>
      <c r="X36" s="1394"/>
      <c r="Y36" s="3253" t="s">
        <v>2146</v>
      </c>
      <c r="Z36" s="1393">
        <f t="shared" si="13"/>
        <v>111</v>
      </c>
      <c r="AA36" s="1393">
        <f t="shared" si="3"/>
        <v>1</v>
      </c>
      <c r="AB36" s="1393">
        <f t="shared" si="4"/>
        <v>1</v>
      </c>
      <c r="AC36" s="1393">
        <f t="shared" si="5"/>
        <v>1</v>
      </c>
    </row>
    <row r="37" spans="1:29" s="416" customFormat="1" ht="15.75"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53"/>
      <c r="Q37" s="1392">
        <f t="shared" si="8"/>
        <v>111</v>
      </c>
      <c r="R37" s="678" t="s">
        <v>17</v>
      </c>
      <c r="S37" s="679">
        <f t="shared" si="10"/>
        <v>100</v>
      </c>
      <c r="T37" s="678" t="s">
        <v>17</v>
      </c>
      <c r="U37" s="679">
        <f t="shared" si="11"/>
        <v>100</v>
      </c>
      <c r="V37" s="678" t="s">
        <v>17</v>
      </c>
      <c r="W37" s="679">
        <f t="shared" si="12"/>
        <v>100</v>
      </c>
      <c r="X37" s="680"/>
      <c r="Y37" s="3253"/>
      <c r="Z37" s="681">
        <f t="shared" si="13"/>
        <v>111</v>
      </c>
      <c r="AA37" s="1393">
        <f t="shared" si="3"/>
        <v>1</v>
      </c>
      <c r="AB37" s="1393">
        <f t="shared" si="4"/>
        <v>1</v>
      </c>
      <c r="AC37" s="1393">
        <f t="shared" si="5"/>
        <v>1</v>
      </c>
    </row>
    <row r="38" spans="1:29" ht="15">
      <c r="A38" s="417" t="s">
        <v>2144</v>
      </c>
      <c r="B38" s="403" t="s">
        <v>2332</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53"/>
      <c r="Q38" s="1392" t="str">
        <f>B38</f>
        <v>宗地面积</v>
      </c>
      <c r="R38" s="676" t="s">
        <v>17</v>
      </c>
      <c r="S38" s="677" t="e">
        <f t="shared" si="10"/>
        <v>#N/A</v>
      </c>
      <c r="T38" s="676" t="s">
        <v>17</v>
      </c>
      <c r="U38" s="677" t="e">
        <f t="shared" si="11"/>
        <v>#N/A</v>
      </c>
      <c r="V38" s="676" t="s">
        <v>17</v>
      </c>
      <c r="W38" s="677" t="e">
        <f t="shared" si="12"/>
        <v>#N/A</v>
      </c>
      <c r="X38" s="1394"/>
      <c r="Y38" s="3253"/>
      <c r="Z38" s="1393" t="str">
        <f t="shared" si="13"/>
        <v>宗地面积</v>
      </c>
      <c r="AA38" s="1393" t="e">
        <f t="shared" si="3"/>
        <v>#N/A</v>
      </c>
      <c r="AB38" s="1393" t="e">
        <f t="shared" si="4"/>
        <v>#N/A</v>
      </c>
      <c r="AC38" s="1393" t="e">
        <f t="shared" si="5"/>
        <v>#N/A</v>
      </c>
    </row>
    <row r="39" spans="1:29" ht="15">
      <c r="A39" s="417"/>
      <c r="B39" s="370" t="s">
        <v>2333</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53"/>
      <c r="Q39" s="1392" t="str">
        <f t="shared" ref="Q39:Q45" si="14">B39</f>
        <v>宗地形状</v>
      </c>
      <c r="R39" s="676" t="s">
        <v>17</v>
      </c>
      <c r="S39" s="677">
        <f t="shared" si="10"/>
        <v>100</v>
      </c>
      <c r="T39" s="676" t="s">
        <v>17</v>
      </c>
      <c r="U39" s="677">
        <f t="shared" si="11"/>
        <v>100</v>
      </c>
      <c r="V39" s="676" t="s">
        <v>17</v>
      </c>
      <c r="W39" s="677">
        <f t="shared" si="12"/>
        <v>100</v>
      </c>
      <c r="X39" s="1394"/>
      <c r="Y39" s="3253"/>
      <c r="Z39" s="1393" t="str">
        <f t="shared" si="13"/>
        <v>宗地形状</v>
      </c>
      <c r="AA39" s="1393">
        <f t="shared" si="3"/>
        <v>1</v>
      </c>
      <c r="AB39" s="1393">
        <f t="shared" si="4"/>
        <v>1</v>
      </c>
      <c r="AC39" s="1393">
        <f t="shared" si="5"/>
        <v>1</v>
      </c>
    </row>
    <row r="40" spans="1:29" ht="15">
      <c r="A40" s="417"/>
      <c r="B40" s="370" t="s">
        <v>2334</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53"/>
      <c r="Q40" s="1392" t="str">
        <f t="shared" si="14"/>
        <v>临街宽度及深度</v>
      </c>
      <c r="R40" s="676" t="s">
        <v>17</v>
      </c>
      <c r="S40" s="677">
        <f t="shared" si="10"/>
        <v>100</v>
      </c>
      <c r="T40" s="676" t="s">
        <v>17</v>
      </c>
      <c r="U40" s="677">
        <f t="shared" si="11"/>
        <v>100</v>
      </c>
      <c r="V40" s="676" t="s">
        <v>17</v>
      </c>
      <c r="W40" s="677">
        <f t="shared" si="12"/>
        <v>100</v>
      </c>
      <c r="X40" s="1394"/>
      <c r="Y40" s="3253"/>
      <c r="Z40" s="1393" t="str">
        <f t="shared" si="13"/>
        <v>临街宽度及深度</v>
      </c>
      <c r="AA40" s="1393">
        <f t="shared" si="3"/>
        <v>1</v>
      </c>
      <c r="AB40" s="1393">
        <f t="shared" si="4"/>
        <v>1</v>
      </c>
      <c r="AC40" s="1393">
        <f t="shared" si="5"/>
        <v>1</v>
      </c>
    </row>
    <row r="41" spans="1:29" s="107" customFormat="1" ht="15">
      <c r="A41" s="418"/>
      <c r="B41" s="370" t="s">
        <v>2335</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6"/>
      <c r="N41" s="2606"/>
      <c r="O41" s="2707"/>
      <c r="P41" s="3253"/>
      <c r="Q41" s="1392" t="str">
        <f t="shared" si="14"/>
        <v>宗地开发程度</v>
      </c>
      <c r="R41" s="673" t="s">
        <v>17</v>
      </c>
      <c r="S41" s="674">
        <f t="shared" si="10"/>
        <v>100</v>
      </c>
      <c r="T41" s="673" t="s">
        <v>17</v>
      </c>
      <c r="U41" s="674">
        <f t="shared" si="11"/>
        <v>100</v>
      </c>
      <c r="V41" s="673" t="s">
        <v>17</v>
      </c>
      <c r="W41" s="674">
        <f t="shared" si="12"/>
        <v>100</v>
      </c>
      <c r="X41" s="675"/>
      <c r="Y41" s="3253"/>
      <c r="Z41" s="53" t="str">
        <f t="shared" si="13"/>
        <v>宗地开发程度</v>
      </c>
      <c r="AA41" s="53">
        <f t="shared" si="3"/>
        <v>1</v>
      </c>
      <c r="AB41" s="53">
        <f t="shared" si="4"/>
        <v>1</v>
      </c>
      <c r="AC41" s="53">
        <f t="shared" si="5"/>
        <v>1</v>
      </c>
    </row>
    <row r="42" spans="1:29" ht="15">
      <c r="A42" s="417"/>
      <c r="B42" s="370" t="s">
        <v>2336</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53" t="s">
        <v>2146</v>
      </c>
      <c r="Q42" s="1392" t="str">
        <f t="shared" si="14"/>
        <v>工程地质条件</v>
      </c>
      <c r="R42" s="676" t="s">
        <v>17</v>
      </c>
      <c r="S42" s="677">
        <f t="shared" si="10"/>
        <v>100</v>
      </c>
      <c r="T42" s="676" t="s">
        <v>17</v>
      </c>
      <c r="U42" s="677">
        <f t="shared" si="11"/>
        <v>100</v>
      </c>
      <c r="V42" s="676" t="s">
        <v>17</v>
      </c>
      <c r="W42" s="677">
        <f t="shared" si="12"/>
        <v>100</v>
      </c>
      <c r="X42" s="1394"/>
      <c r="Y42" s="3253" t="s">
        <v>2146</v>
      </c>
      <c r="Z42" s="1393" t="str">
        <f t="shared" si="13"/>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53"/>
      <c r="Q43" s="1392">
        <f t="shared" si="14"/>
        <v>111</v>
      </c>
      <c r="R43" s="676" t="s">
        <v>17</v>
      </c>
      <c r="S43" s="677">
        <f t="shared" si="10"/>
        <v>100</v>
      </c>
      <c r="T43" s="676" t="s">
        <v>17</v>
      </c>
      <c r="U43" s="677">
        <f t="shared" si="11"/>
        <v>100</v>
      </c>
      <c r="V43" s="676" t="s">
        <v>17</v>
      </c>
      <c r="W43" s="677">
        <f t="shared" si="12"/>
        <v>100</v>
      </c>
      <c r="X43" s="1394"/>
      <c r="Y43" s="3253"/>
      <c r="Z43" s="1393">
        <f t="shared" si="13"/>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53"/>
      <c r="Q44" s="1392">
        <f t="shared" si="14"/>
        <v>111</v>
      </c>
      <c r="R44" s="676" t="s">
        <v>17</v>
      </c>
      <c r="S44" s="677">
        <f t="shared" si="10"/>
        <v>100</v>
      </c>
      <c r="T44" s="676" t="s">
        <v>17</v>
      </c>
      <c r="U44" s="677">
        <f t="shared" si="11"/>
        <v>100</v>
      </c>
      <c r="V44" s="676" t="s">
        <v>17</v>
      </c>
      <c r="W44" s="677">
        <f t="shared" si="12"/>
        <v>100</v>
      </c>
      <c r="X44" s="1394"/>
      <c r="Y44" s="3253"/>
      <c r="Z44" s="1393">
        <f t="shared" si="13"/>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53"/>
      <c r="Q45" s="1392">
        <f t="shared" si="14"/>
        <v>111</v>
      </c>
      <c r="R45" s="678" t="s">
        <v>17</v>
      </c>
      <c r="S45" s="679">
        <f t="shared" si="10"/>
        <v>100</v>
      </c>
      <c r="T45" s="678" t="s">
        <v>17</v>
      </c>
      <c r="U45" s="679">
        <f t="shared" si="11"/>
        <v>100</v>
      </c>
      <c r="V45" s="678" t="s">
        <v>17</v>
      </c>
      <c r="W45" s="679">
        <f t="shared" si="12"/>
        <v>100</v>
      </c>
      <c r="X45" s="680"/>
      <c r="Y45" s="3253"/>
      <c r="Z45" s="681">
        <f t="shared" si="13"/>
        <v>111</v>
      </c>
      <c r="AA45" s="1393">
        <f t="shared" si="3"/>
        <v>1</v>
      </c>
      <c r="AB45" s="1393">
        <f t="shared" si="4"/>
        <v>1</v>
      </c>
      <c r="AC45" s="1393">
        <f t="shared" si="5"/>
        <v>1</v>
      </c>
    </row>
    <row r="46" spans="1:29" ht="15">
      <c r="A46" s="424" t="s">
        <v>2301</v>
      </c>
      <c r="B46" s="1960" t="s">
        <v>2337</v>
      </c>
      <c r="C46" s="610" t="s">
        <v>1</v>
      </c>
      <c r="D46" s="426"/>
      <c r="E46" s="427"/>
      <c r="F46" s="428"/>
      <c r="G46" s="429"/>
      <c r="H46" s="430"/>
      <c r="I46" s="427"/>
      <c r="J46" s="430"/>
      <c r="K46" s="683"/>
      <c r="L46" s="2661"/>
      <c r="M46" s="2654"/>
      <c r="N46" s="2654"/>
      <c r="O46" s="2654"/>
      <c r="P46" s="3247" t="str">
        <f>A46</f>
        <v>成交单价</v>
      </c>
      <c r="Q46" s="3247"/>
      <c r="R46" s="3242">
        <f>E46</f>
        <v>0</v>
      </c>
      <c r="S46" s="3242"/>
      <c r="T46" s="3242">
        <f>G46</f>
        <v>0</v>
      </c>
      <c r="U46" s="3242"/>
      <c r="V46" s="3242">
        <f>I46</f>
        <v>0</v>
      </c>
      <c r="W46" s="3242"/>
      <c r="X46" s="393"/>
      <c r="Y46" s="682"/>
      <c r="Z46" s="393"/>
      <c r="AA46" s="393"/>
      <c r="AB46" s="393"/>
      <c r="AC46" s="393"/>
    </row>
    <row r="47" spans="1:29" ht="15.75" thickBot="1">
      <c r="A47" s="431" t="s">
        <v>2250</v>
      </c>
      <c r="B47" s="611"/>
      <c r="C47" s="434" t="e">
        <f>R48</f>
        <v>#DIV/0!</v>
      </c>
      <c r="D47" s="2301" t="s">
        <v>2640</v>
      </c>
      <c r="E47" s="434" t="e">
        <f>R47</f>
        <v>#DIV/0!</v>
      </c>
      <c r="F47" s="2302"/>
      <c r="G47" s="433" t="e">
        <f>T47</f>
        <v>#DIV/0!</v>
      </c>
      <c r="H47" s="2302"/>
      <c r="I47" s="434" t="e">
        <f>V47</f>
        <v>#DIV/0!</v>
      </c>
      <c r="J47" s="2302"/>
      <c r="K47" s="2304">
        <f>F47+H47+J47</f>
        <v>0</v>
      </c>
      <c r="L47" s="2661"/>
      <c r="M47" s="2654"/>
      <c r="N47" s="2654"/>
      <c r="O47" s="2654"/>
      <c r="P47" s="3247" t="str">
        <f>A47</f>
        <v>比较价值（元/平方米）</v>
      </c>
      <c r="Q47" s="3247"/>
      <c r="R47" s="3277" t="e">
        <f>ROUND(PRODUCT(R46,AA7:AA45),0)</f>
        <v>#DIV/0!</v>
      </c>
      <c r="S47" s="3277"/>
      <c r="T47" s="3277" t="e">
        <f>ROUND(PRODUCT(T46,AB7:AB45),0)</f>
        <v>#DIV/0!</v>
      </c>
      <c r="U47" s="3277"/>
      <c r="V47" s="3277" t="e">
        <f>ROUND(PRODUCT(V46,AC7:AC45),0)</f>
        <v>#DIV/0!</v>
      </c>
      <c r="W47" s="3277"/>
      <c r="X47" s="393"/>
      <c r="Y47" s="393"/>
      <c r="Z47" s="393"/>
      <c r="AA47" s="393"/>
      <c r="AB47" s="393"/>
      <c r="AC47" s="393"/>
    </row>
    <row r="48" spans="1:29" ht="15.75" thickBot="1">
      <c r="A48" s="435" t="s">
        <v>2338</v>
      </c>
      <c r="B48" s="436"/>
      <c r="C48" s="437" t="e">
        <f>R48</f>
        <v>#DIV/0!</v>
      </c>
      <c r="D48" s="437"/>
      <c r="E48" s="437"/>
      <c r="F48" s="437"/>
      <c r="G48" s="437"/>
      <c r="H48" s="437"/>
      <c r="I48" s="437"/>
      <c r="J48" s="437"/>
      <c r="K48" s="684"/>
      <c r="L48" s="2661"/>
      <c r="M48" s="2654"/>
      <c r="N48" s="2654"/>
      <c r="O48" s="2654"/>
      <c r="P48" s="3244" t="str">
        <f>A48</f>
        <v>估价对象XX用房的比较价值（楼面单价，元/平方米）</v>
      </c>
      <c r="Q48" s="3245"/>
      <c r="R48" s="3278" t="e">
        <f>ROUND(IF(D47="简单平均",AVERAGE(R47:W47),R47*F47+T47*H47+V47*J47),0)</f>
        <v>#DIV/0!</v>
      </c>
      <c r="S48" s="3278"/>
      <c r="T48" s="3278"/>
      <c r="U48" s="3278"/>
      <c r="V48" s="3278"/>
      <c r="W48" s="3278"/>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2252</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2253</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2254</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2339</v>
      </c>
      <c r="B55" s="613" t="s">
        <v>2340</v>
      </c>
      <c r="C55" s="1961" t="s">
        <v>2341</v>
      </c>
      <c r="D55" s="1962" t="s">
        <v>2342</v>
      </c>
      <c r="E55" s="614" t="s">
        <v>2343</v>
      </c>
      <c r="F55" s="944" t="s">
        <v>2344</v>
      </c>
      <c r="G55" s="3230" t="s">
        <v>2345</v>
      </c>
      <c r="H55" s="3279"/>
      <c r="I55" s="132" t="s">
        <v>2346</v>
      </c>
      <c r="J55" s="1963">
        <f>项目基本情况!F35</f>
        <v>0</v>
      </c>
      <c r="K55" s="1964" t="s">
        <v>2347</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2348</v>
      </c>
      <c r="B56" s="617" t="e">
        <f>C48</f>
        <v>#DIV/0!</v>
      </c>
      <c r="C56" s="618">
        <v>1</v>
      </c>
      <c r="D56" s="997">
        <v>1</v>
      </c>
      <c r="E56" s="618">
        <f>'数据-汇总表'!E8+'数据-汇总表'!E9</f>
        <v>11320.8</v>
      </c>
      <c r="F56" s="940" t="e">
        <f t="shared" ref="F56:F64" si="15">ROUND(B56*E56/10000,0)</f>
        <v>#DIV/0!</v>
      </c>
      <c r="G56" s="3229"/>
      <c r="H56" s="3247"/>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2349</v>
      </c>
      <c r="B57" s="216" t="e">
        <f>ROUND($C$48*C57*D57,0)</f>
        <v>#DIV/0!</v>
      </c>
      <c r="C57" s="168">
        <f t="shared" ref="C57:C64" si="16">IF($C$55="北京市系数",I57,J57)</f>
        <v>0</v>
      </c>
      <c r="D57" s="998">
        <v>0.25</v>
      </c>
      <c r="E57" s="622"/>
      <c r="F57" s="940" t="e">
        <f t="shared" si="15"/>
        <v>#DIV/0!</v>
      </c>
      <c r="G57" s="2960" t="s">
        <v>2350</v>
      </c>
      <c r="H57" s="941">
        <f>项目基本情况!B37</f>
        <v>0</v>
      </c>
      <c r="I57" s="945">
        <f>SUMIF(修正!A57:A68,H57,修正!B57:B68)</f>
        <v>0</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2351</v>
      </c>
      <c r="B58" s="216" t="e">
        <f t="shared" ref="B58:B64" si="17">ROUND($C$48*C58*D58,0)</f>
        <v>#DIV/0!</v>
      </c>
      <c r="C58" s="168">
        <f t="shared" si="16"/>
        <v>0</v>
      </c>
      <c r="D58" s="998">
        <v>0.25</v>
      </c>
      <c r="E58" s="622"/>
      <c r="F58" s="940" t="e">
        <f t="shared" si="15"/>
        <v>#DIV/0!</v>
      </c>
      <c r="G58" s="2961"/>
      <c r="H58" s="941">
        <f>项目基本情况!B37</f>
        <v>0</v>
      </c>
      <c r="I58" s="945">
        <f>SUMIF(修正!A57:A68,H58,修正!C57:C68)</f>
        <v>0</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2352</v>
      </c>
      <c r="B59" s="216" t="e">
        <f t="shared" si="17"/>
        <v>#DIV/0!</v>
      </c>
      <c r="C59" s="168">
        <f t="shared" si="16"/>
        <v>0</v>
      </c>
      <c r="D59" s="998">
        <v>0.25</v>
      </c>
      <c r="E59" s="622"/>
      <c r="F59" s="940" t="e">
        <f t="shared" si="15"/>
        <v>#DIV/0!</v>
      </c>
      <c r="G59" s="2961"/>
      <c r="H59" s="941">
        <f>项目基本情况!B37</f>
        <v>0</v>
      </c>
      <c r="I59" s="945">
        <f>SUMIF(修正!A57:A68,H59,修正!D57:D68)</f>
        <v>0</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2353</v>
      </c>
      <c r="B60" s="216" t="e">
        <f t="shared" si="17"/>
        <v>#DIV/0!</v>
      </c>
      <c r="C60" s="168">
        <f t="shared" si="16"/>
        <v>0</v>
      </c>
      <c r="D60" s="998">
        <v>0.25</v>
      </c>
      <c r="E60" s="215">
        <f>'数据-汇总表'!E11</f>
        <v>0</v>
      </c>
      <c r="F60" s="940" t="e">
        <f t="shared" si="15"/>
        <v>#DIV/0!</v>
      </c>
      <c r="G60" s="1965" t="s">
        <v>2354</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2355</v>
      </c>
      <c r="B61" s="216" t="e">
        <f t="shared" si="17"/>
        <v>#DIV/0!</v>
      </c>
      <c r="C61" s="168">
        <f t="shared" si="16"/>
        <v>0</v>
      </c>
      <c r="D61" s="998">
        <v>0.25</v>
      </c>
      <c r="E61" s="215">
        <f>'数据-汇总表'!E12</f>
        <v>0</v>
      </c>
      <c r="F61" s="940" t="e">
        <f t="shared" si="15"/>
        <v>#DIV/0!</v>
      </c>
      <c r="G61" s="946" t="s">
        <v>2356</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2357</v>
      </c>
      <c r="B62" s="216" t="e">
        <f t="shared" si="17"/>
        <v>#DIV/0!</v>
      </c>
      <c r="C62" s="168">
        <f t="shared" si="16"/>
        <v>0</v>
      </c>
      <c r="D62" s="998">
        <v>0.25</v>
      </c>
      <c r="E62" s="215">
        <f>'数据-汇总表'!E13</f>
        <v>0</v>
      </c>
      <c r="F62" s="940" t="e">
        <f t="shared" si="15"/>
        <v>#DIV/0!</v>
      </c>
      <c r="G62" s="946" t="s">
        <v>2358</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2359</v>
      </c>
      <c r="B63" s="216" t="e">
        <f t="shared" si="17"/>
        <v>#DIV/0!</v>
      </c>
      <c r="C63" s="168">
        <f t="shared" si="16"/>
        <v>0</v>
      </c>
      <c r="D63" s="998">
        <v>0.25</v>
      </c>
      <c r="E63" s="215">
        <f>'数据-汇总表'!E14</f>
        <v>0</v>
      </c>
      <c r="F63" s="940" t="e">
        <f t="shared" si="15"/>
        <v>#DIV/0!</v>
      </c>
      <c r="G63" s="1965" t="s">
        <v>2350</v>
      </c>
      <c r="H63" s="941">
        <f>项目基本情况!B37</f>
        <v>0</v>
      </c>
      <c r="I63" s="945">
        <f>SUMIF(修正!A57:A68,H63,修正!G57:G68)</f>
        <v>0</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5" thickBot="1">
      <c r="A64" s="621" t="s">
        <v>2360</v>
      </c>
      <c r="B64" s="216" t="e">
        <f t="shared" si="17"/>
        <v>#DIV/0!</v>
      </c>
      <c r="C64" s="168">
        <f t="shared" si="16"/>
        <v>0</v>
      </c>
      <c r="D64" s="998">
        <v>0.25</v>
      </c>
      <c r="E64" s="215">
        <f>'数据-汇总表'!E15</f>
        <v>0</v>
      </c>
      <c r="F64" s="940" t="e">
        <f t="shared" si="15"/>
        <v>#DIV/0!</v>
      </c>
      <c r="G64" s="1966" t="s">
        <v>2354</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ht="13.5" thickBot="1">
      <c r="A65" s="623" t="s">
        <v>2361</v>
      </c>
      <c r="B65" s="624" t="s">
        <v>28</v>
      </c>
      <c r="C65" s="624" t="s">
        <v>29</v>
      </c>
      <c r="D65" s="624" t="s">
        <v>816</v>
      </c>
      <c r="E65" s="624">
        <f>IF(B46="楼面地价",SUM(E56:E64),'数据-汇总表'!D3)</f>
        <v>11320.8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2022-10-1</v>
      </c>
      <c r="D67" s="665">
        <f>EDATE(C67,-3)</f>
        <v>44743</v>
      </c>
      <c r="E67" s="665">
        <f>EDATE(D67,-3)</f>
        <v>44652</v>
      </c>
      <c r="F67" s="665">
        <f t="shared" ref="F67:O67" si="18">EDATE(E67,-3)</f>
        <v>44562</v>
      </c>
      <c r="G67" s="665">
        <f t="shared" si="18"/>
        <v>44470</v>
      </c>
      <c r="H67" s="665">
        <f t="shared" si="18"/>
        <v>44378</v>
      </c>
      <c r="I67" s="665">
        <f t="shared" si="18"/>
        <v>44287</v>
      </c>
      <c r="J67" s="665">
        <f t="shared" si="18"/>
        <v>44197</v>
      </c>
      <c r="K67" s="665">
        <f t="shared" si="18"/>
        <v>44105</v>
      </c>
      <c r="L67" s="665">
        <f t="shared" si="18"/>
        <v>44013</v>
      </c>
      <c r="M67" s="665">
        <f t="shared" si="18"/>
        <v>43922</v>
      </c>
      <c r="N67" s="665">
        <f t="shared" si="18"/>
        <v>43831</v>
      </c>
      <c r="O67" s="665">
        <f t="shared" si="18"/>
        <v>43739</v>
      </c>
      <c r="P67" s="2654"/>
      <c r="Q67" s="2654"/>
      <c r="R67" s="2654"/>
      <c r="S67" s="2654"/>
      <c r="T67" s="2654"/>
      <c r="U67" s="2654"/>
      <c r="V67" s="2654"/>
      <c r="W67" s="2654"/>
      <c r="X67" s="2654"/>
      <c r="Y67" s="2654"/>
      <c r="Z67" s="2654"/>
      <c r="AA67" s="2654"/>
      <c r="AB67" s="2654"/>
      <c r="AC67" s="2654"/>
    </row>
    <row r="68" spans="1:29" ht="21.75" thickBot="1">
      <c r="A68" s="667" t="s">
        <v>2255</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ht="15">
      <c r="A69" s="1760" t="s">
        <v>2362</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7" t="s">
        <v>2363</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6"/>
      <c r="R70" s="2606"/>
      <c r="S70" s="2606"/>
      <c r="T70" s="2606"/>
      <c r="U70" s="2606"/>
      <c r="V70" s="2606"/>
      <c r="W70" s="2606"/>
      <c r="X70" s="2606"/>
      <c r="Y70" s="2606"/>
      <c r="Z70" s="2606"/>
      <c r="AA70" s="2606"/>
      <c r="AB70" s="2606"/>
      <c r="AC70" s="2606"/>
    </row>
    <row r="71" spans="1:29" s="107" customFormat="1" ht="15.75" thickBot="1">
      <c r="A71" s="457" t="s">
        <v>2166</v>
      </c>
      <c r="B71" s="458"/>
      <c r="C71" s="459"/>
      <c r="D71" s="460"/>
      <c r="E71" s="460"/>
      <c r="F71" s="460"/>
      <c r="G71" s="460"/>
      <c r="H71" s="460"/>
      <c r="I71" s="460"/>
      <c r="J71" s="460"/>
      <c r="K71" s="460"/>
      <c r="L71" s="460"/>
      <c r="M71" s="461"/>
      <c r="N71" s="460"/>
      <c r="O71" s="996"/>
      <c r="P71" s="2675"/>
      <c r="Q71" s="2675"/>
      <c r="R71" s="2606"/>
      <c r="S71" s="2606"/>
      <c r="T71" s="2606"/>
      <c r="U71" s="2606"/>
      <c r="V71" s="2606"/>
      <c r="W71" s="2606"/>
      <c r="X71" s="2606"/>
      <c r="Y71" s="2606"/>
      <c r="Z71" s="2606"/>
      <c r="AA71" s="2606"/>
      <c r="AB71" s="2606"/>
      <c r="AC71" s="2606"/>
    </row>
    <row r="72" spans="1:29" s="107" customFormat="1" ht="15">
      <c r="A72" s="463" t="s">
        <v>2131</v>
      </c>
      <c r="B72" s="452"/>
      <c r="C72" s="464" t="s">
        <v>2233</v>
      </c>
      <c r="D72" s="34"/>
      <c r="E72" s="34"/>
      <c r="F72" s="34"/>
      <c r="G72" s="34"/>
      <c r="H72" s="34"/>
      <c r="I72" s="34"/>
      <c r="J72" s="34"/>
      <c r="K72" s="34"/>
      <c r="L72" s="465"/>
      <c r="M72" s="466"/>
      <c r="N72" s="2687"/>
      <c r="O72" s="2687"/>
      <c r="P72" s="2711"/>
      <c r="Q72" s="2675"/>
      <c r="R72" s="2606"/>
      <c r="S72" s="2606"/>
      <c r="T72" s="2606"/>
      <c r="U72" s="2606"/>
      <c r="V72" s="2606"/>
      <c r="W72" s="2606"/>
      <c r="X72" s="2606"/>
      <c r="Y72" s="2606"/>
      <c r="Z72" s="2606"/>
      <c r="AA72" s="2606"/>
      <c r="AB72" s="2606"/>
      <c r="AC72" s="2606"/>
    </row>
    <row r="73" spans="1:29" s="107" customFormat="1" ht="15.75" thickBot="1">
      <c r="A73" s="463"/>
      <c r="B73" s="452"/>
      <c r="C73" s="571">
        <v>100</v>
      </c>
      <c r="D73" s="454"/>
      <c r="E73" s="454"/>
      <c r="F73" s="454"/>
      <c r="G73" s="454"/>
      <c r="H73" s="454"/>
      <c r="I73" s="454"/>
      <c r="J73" s="454"/>
      <c r="K73" s="454"/>
      <c r="L73" s="454"/>
      <c r="M73" s="456"/>
      <c r="N73" s="2687"/>
      <c r="O73" s="2687"/>
      <c r="P73" s="2675"/>
      <c r="Q73" s="2675"/>
      <c r="R73" s="2606"/>
      <c r="S73" s="2606"/>
      <c r="T73" s="2606"/>
      <c r="U73" s="2606"/>
      <c r="V73" s="2606"/>
      <c r="W73" s="2606"/>
      <c r="X73" s="2606"/>
      <c r="Y73" s="2606"/>
      <c r="Z73" s="2606"/>
      <c r="AA73" s="2606"/>
      <c r="AB73" s="2606"/>
      <c r="AC73" s="2606"/>
    </row>
    <row r="74" spans="1:29">
      <c r="A74" s="387" t="s">
        <v>2169</v>
      </c>
      <c r="B74" s="468" t="s">
        <v>2135</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5.7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7.75" thickTop="1">
      <c r="A76" s="375"/>
      <c r="B76" s="477" t="s">
        <v>2138</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5.7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5.75" thickTop="1">
      <c r="A78" s="375"/>
      <c r="B78" s="485" t="s">
        <v>2139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ht="15">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5.7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9"/>
      <c r="O80" s="2689"/>
      <c r="P80" s="2687"/>
      <c r="Q80" s="2675"/>
      <c r="R80" s="2654"/>
      <c r="S80" s="2654"/>
      <c r="T80" s="2654"/>
      <c r="U80" s="2654"/>
      <c r="V80" s="2654"/>
      <c r="W80" s="2654"/>
      <c r="X80" s="2654"/>
      <c r="Y80" s="2654"/>
      <c r="Z80" s="2654"/>
      <c r="AA80" s="2654"/>
      <c r="AB80" s="2654"/>
      <c r="AC80" s="2654"/>
    </row>
    <row r="81" spans="1:29" s="416" customFormat="1" ht="15.7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5.7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5.7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5.7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5.7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5.7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2140</v>
      </c>
      <c r="B87" s="468" t="s">
        <v>2177</v>
      </c>
      <c r="C87" s="512" t="s">
        <v>2178</v>
      </c>
      <c r="D87" s="512" t="s">
        <v>2179</v>
      </c>
      <c r="E87" s="512" t="s">
        <v>2180</v>
      </c>
      <c r="F87" s="512" t="s">
        <v>2181</v>
      </c>
      <c r="G87" s="512" t="s">
        <v>2182</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5.75" thickTop="1">
      <c r="A89" s="375"/>
      <c r="B89" s="477" t="s">
        <v>2364</v>
      </c>
      <c r="C89" s="517" t="s">
        <v>2178</v>
      </c>
      <c r="D89" s="517" t="s">
        <v>2179</v>
      </c>
      <c r="E89" s="517" t="s">
        <v>2180</v>
      </c>
      <c r="F89" s="517" t="s">
        <v>2181</v>
      </c>
      <c r="G89" s="517" t="s">
        <v>2182</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5.75" thickTop="1">
      <c r="A91" s="375"/>
      <c r="B91" s="477" t="s">
        <v>2278</v>
      </c>
      <c r="C91" s="517" t="s">
        <v>2178</v>
      </c>
      <c r="D91" s="517" t="s">
        <v>2179</v>
      </c>
      <c r="E91" s="517" t="s">
        <v>2180</v>
      </c>
      <c r="F91" s="517" t="s">
        <v>2181</v>
      </c>
      <c r="G91" s="517" t="s">
        <v>2182</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5.75" thickTop="1">
      <c r="A93" s="375"/>
      <c r="B93" s="477" t="s">
        <v>2183</v>
      </c>
      <c r="C93" s="517" t="s">
        <v>2178</v>
      </c>
      <c r="D93" s="517" t="s">
        <v>2179</v>
      </c>
      <c r="E93" s="517" t="s">
        <v>2180</v>
      </c>
      <c r="F93" s="517" t="s">
        <v>2181</v>
      </c>
      <c r="G93" s="517" t="s">
        <v>2182</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15.75" thickTop="1">
      <c r="A95" s="378"/>
      <c r="B95" s="477" t="s">
        <v>2365</v>
      </c>
      <c r="C95" s="517" t="s">
        <v>2178</v>
      </c>
      <c r="D95" s="517" t="s">
        <v>2179</v>
      </c>
      <c r="E95" s="517" t="s">
        <v>2180</v>
      </c>
      <c r="F95" s="517" t="s">
        <v>2181</v>
      </c>
      <c r="G95" s="517" t="s">
        <v>2182</v>
      </c>
      <c r="H95" s="517"/>
      <c r="I95" s="517"/>
      <c r="J95" s="517"/>
      <c r="K95" s="517"/>
      <c r="L95" s="626"/>
      <c r="M95" s="555"/>
      <c r="N95" s="2687"/>
      <c r="O95" s="2687"/>
      <c r="P95" s="2687"/>
      <c r="Q95" s="2675"/>
      <c r="R95" s="2606"/>
      <c r="S95" s="2606"/>
      <c r="T95" s="2606"/>
      <c r="U95" s="2606"/>
      <c r="V95" s="2606"/>
      <c r="W95" s="2606"/>
      <c r="X95" s="2606"/>
      <c r="Y95" s="2606"/>
      <c r="Z95" s="2606"/>
      <c r="AA95" s="2606"/>
      <c r="AB95" s="2606"/>
      <c r="AC95" s="2606"/>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6"/>
      <c r="S96" s="2606"/>
      <c r="T96" s="2606"/>
      <c r="U96" s="2606"/>
      <c r="V96" s="2606"/>
      <c r="W96" s="2606"/>
      <c r="X96" s="2606"/>
      <c r="Y96" s="2606"/>
      <c r="Z96" s="2606"/>
      <c r="AA96" s="2606"/>
      <c r="AB96" s="2606"/>
      <c r="AC96" s="2606"/>
    </row>
    <row r="97" spans="1:29" s="107" customFormat="1" ht="27.75" thickTop="1">
      <c r="A97" s="378"/>
      <c r="B97" s="477" t="s">
        <v>2366</v>
      </c>
      <c r="C97" s="512" t="s">
        <v>2178</v>
      </c>
      <c r="D97" s="512" t="s">
        <v>2179</v>
      </c>
      <c r="E97" s="512" t="s">
        <v>2180</v>
      </c>
      <c r="F97" s="512" t="s">
        <v>2181</v>
      </c>
      <c r="G97" s="512" t="s">
        <v>2182</v>
      </c>
      <c r="H97" s="517"/>
      <c r="I97" s="517"/>
      <c r="J97" s="517"/>
      <c r="K97" s="517"/>
      <c r="L97" s="517"/>
      <c r="M97" s="555"/>
      <c r="N97" s="2687"/>
      <c r="O97" s="2687"/>
      <c r="P97" s="2687"/>
      <c r="Q97" s="2675"/>
      <c r="R97" s="2606"/>
      <c r="S97" s="2606"/>
      <c r="T97" s="2606"/>
      <c r="U97" s="2606"/>
      <c r="V97" s="2606"/>
      <c r="W97" s="2606"/>
      <c r="X97" s="2606"/>
      <c r="Y97" s="2606"/>
      <c r="Z97" s="2606"/>
      <c r="AA97" s="2606"/>
      <c r="AB97" s="2606"/>
      <c r="AC97" s="2606"/>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6"/>
      <c r="S98" s="2606"/>
      <c r="T98" s="2606"/>
      <c r="U98" s="2606"/>
      <c r="V98" s="2606"/>
      <c r="W98" s="2606"/>
      <c r="X98" s="2606"/>
      <c r="Y98" s="2606"/>
      <c r="Z98" s="2606"/>
      <c r="AA98" s="2606"/>
      <c r="AB98" s="2606"/>
      <c r="AC98" s="2606"/>
    </row>
    <row r="99" spans="1:29" s="416" customFormat="1" ht="15.75" thickTop="1">
      <c r="A99" s="492"/>
      <c r="B99" s="477" t="s">
        <v>2235</v>
      </c>
      <c r="C99" s="512" t="s">
        <v>2178</v>
      </c>
      <c r="D99" s="512" t="s">
        <v>2179</v>
      </c>
      <c r="E99" s="512" t="s">
        <v>2180</v>
      </c>
      <c r="F99" s="512" t="s">
        <v>2181</v>
      </c>
      <c r="G99" s="512" t="s">
        <v>2182</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5.75" thickTop="1">
      <c r="A101" s="492"/>
      <c r="B101" s="485" t="s">
        <v>2236</v>
      </c>
      <c r="C101" s="589" t="s">
        <v>2256</v>
      </c>
      <c r="D101" s="589" t="s">
        <v>2257</v>
      </c>
      <c r="E101" s="589" t="s">
        <v>2258</v>
      </c>
      <c r="F101" s="589" t="s">
        <v>2259</v>
      </c>
      <c r="G101" s="589" t="s">
        <v>2260</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5.75" thickTop="1">
      <c r="A103" s="375"/>
      <c r="B103" s="477" t="str">
        <f>B31</f>
        <v>临街状况</v>
      </c>
      <c r="C103" s="478" t="s">
        <v>2367</v>
      </c>
      <c r="D103" s="478" t="s">
        <v>2368</v>
      </c>
      <c r="E103" s="478" t="s">
        <v>2369</v>
      </c>
      <c r="F103" s="478" t="s">
        <v>2370</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5.7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9"/>
      <c r="O104" s="2689"/>
      <c r="P104" s="2687"/>
      <c r="Q104" s="2675"/>
      <c r="R104" s="2654"/>
      <c r="S104" s="2654"/>
      <c r="T104" s="2654"/>
      <c r="U104" s="2654"/>
      <c r="V104" s="2654"/>
      <c r="W104" s="2654"/>
      <c r="X104" s="2654"/>
      <c r="Y104" s="2654"/>
      <c r="Z104" s="2654"/>
      <c r="AA104" s="2654"/>
      <c r="AB104" s="2654"/>
      <c r="AC104" s="2654"/>
    </row>
    <row r="105" spans="1:29" ht="27.75" thickTop="1">
      <c r="A105" s="375"/>
      <c r="B105" s="477" t="s">
        <v>2272</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9"/>
      <c r="O106" s="2689"/>
      <c r="P106" s="2687"/>
      <c r="Q106" s="2675"/>
      <c r="R106" s="2654"/>
      <c r="S106" s="2654"/>
      <c r="T106" s="2654"/>
      <c r="U106" s="2654"/>
      <c r="V106" s="2654"/>
      <c r="W106" s="2654"/>
      <c r="X106" s="2654"/>
      <c r="Y106" s="2654"/>
      <c r="Z106" s="2654"/>
      <c r="AA106" s="2654"/>
      <c r="AB106" s="2654"/>
      <c r="AC106" s="2654"/>
    </row>
    <row r="107" spans="1:29" ht="15.75" thickTop="1">
      <c r="A107" s="375"/>
      <c r="B107" s="477" t="s">
        <v>2331</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9"/>
      <c r="O108" s="2689"/>
      <c r="P108" s="2687"/>
      <c r="Q108" s="2675"/>
      <c r="R108" s="2654"/>
      <c r="S108" s="2654"/>
      <c r="T108" s="2654"/>
      <c r="U108" s="2654"/>
      <c r="V108" s="2654"/>
      <c r="W108" s="2654"/>
      <c r="X108" s="2654"/>
      <c r="Y108" s="2654"/>
      <c r="Z108" s="2654"/>
      <c r="AA108" s="2654"/>
      <c r="AB108" s="2654"/>
      <c r="AC108" s="2654"/>
    </row>
    <row r="109" spans="1:29" ht="15.7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5.7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5.7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5.7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2144</v>
      </c>
      <c r="B115" s="468" t="s">
        <v>2371</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8"/>
      <c r="O115" s="2688"/>
      <c r="P115" s="2687"/>
      <c r="Q115" s="2675"/>
      <c r="R115" s="2654"/>
      <c r="S115" s="2654"/>
      <c r="T115" s="2654"/>
      <c r="U115" s="2654"/>
      <c r="V115" s="2654"/>
      <c r="W115" s="2654"/>
      <c r="X115" s="2654"/>
      <c r="Y115" s="2654"/>
      <c r="Z115" s="2654"/>
      <c r="AA115" s="2654"/>
      <c r="AB115" s="2654"/>
      <c r="AC115" s="2654"/>
    </row>
    <row r="116" spans="1:29" ht="15">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5.7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5" thickTop="1">
      <c r="A118" s="417"/>
      <c r="B118" s="477" t="s">
        <v>2372</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5.7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9"/>
      <c r="O119" s="2689"/>
      <c r="P119" s="2687"/>
      <c r="Q119" s="2675"/>
      <c r="R119" s="2654"/>
      <c r="S119" s="2654"/>
      <c r="T119" s="2654"/>
      <c r="U119" s="2654"/>
      <c r="V119" s="2654"/>
      <c r="W119" s="2654"/>
      <c r="X119" s="2654"/>
      <c r="Y119" s="2654"/>
      <c r="Z119" s="2654"/>
      <c r="AA119" s="2654"/>
      <c r="AB119" s="2654"/>
      <c r="AC119" s="2654"/>
    </row>
    <row r="120" spans="1:29" ht="15" thickTop="1">
      <c r="A120" s="417"/>
      <c r="B120" s="477" t="s">
        <v>2373</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5.7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5" thickTop="1">
      <c r="A122" s="414"/>
      <c r="B122" s="477" t="s">
        <v>2374</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5.7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0"/>
      <c r="O123" s="2690"/>
      <c r="P123" s="2690"/>
      <c r="Q123" s="2682"/>
      <c r="R123" s="2660"/>
      <c r="S123" s="2660"/>
      <c r="T123" s="2660"/>
      <c r="U123" s="2660"/>
      <c r="V123" s="2660"/>
      <c r="W123" s="2660"/>
      <c r="X123" s="2660"/>
      <c r="Y123" s="2660"/>
      <c r="Z123" s="2660"/>
      <c r="AA123" s="2660"/>
      <c r="AB123" s="2660"/>
      <c r="AC123" s="2660"/>
    </row>
    <row r="124" spans="1:29" ht="15" thickTop="1">
      <c r="A124" s="417"/>
      <c r="B124" s="477" t="s">
        <v>2375</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9"/>
      <c r="O125" s="2689"/>
      <c r="P125" s="2687"/>
      <c r="Q125" s="2675"/>
      <c r="R125" s="2654"/>
      <c r="S125" s="2654"/>
      <c r="T125" s="2654"/>
      <c r="U125" s="2654"/>
      <c r="V125" s="2654"/>
      <c r="W125" s="2654"/>
      <c r="X125" s="2654"/>
      <c r="Y125" s="2654"/>
      <c r="Z125" s="2654"/>
      <c r="AA125" s="2654"/>
      <c r="AB125" s="2654"/>
      <c r="AC125" s="2654"/>
    </row>
    <row r="126" spans="1:29" ht="1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5.7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5.7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5.7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5" t="s">
        <v>2325</v>
      </c>
      <c r="B1" s="346"/>
      <c r="C1" s="347" t="s">
        <v>2376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17" t="s">
        <v>2228</v>
      </c>
      <c r="S4" s="3218"/>
      <c r="T4" s="3217" t="s">
        <v>2229</v>
      </c>
      <c r="U4" s="3218"/>
      <c r="V4" s="3242" t="s">
        <v>2230</v>
      </c>
      <c r="W4" s="3242"/>
      <c r="X4" s="1394"/>
      <c r="Y4" s="3217" t="s">
        <v>2232</v>
      </c>
      <c r="Z4" s="3218"/>
      <c r="AA4" s="3212" t="s">
        <v>2228</v>
      </c>
      <c r="AB4" s="3213" t="s">
        <v>2229</v>
      </c>
      <c r="AC4" s="3212" t="s">
        <v>2230</v>
      </c>
    </row>
    <row r="5" spans="1:29" ht="15">
      <c r="A5" s="354"/>
      <c r="B5" s="355"/>
      <c r="C5" s="3223" t="s">
        <v>2123</v>
      </c>
      <c r="D5" s="3224"/>
      <c r="E5" s="3221" t="s">
        <v>2124</v>
      </c>
      <c r="F5" s="3222"/>
      <c r="G5" s="3223" t="s">
        <v>2125</v>
      </c>
      <c r="H5" s="3224"/>
      <c r="I5" s="3223" t="s">
        <v>2126</v>
      </c>
      <c r="J5" s="3224"/>
      <c r="K5" s="545"/>
      <c r="L5" s="2653"/>
      <c r="M5" s="2654"/>
      <c r="N5" s="2654"/>
      <c r="O5" s="2654"/>
      <c r="P5" s="3236"/>
      <c r="Q5" s="3237"/>
      <c r="R5" s="3219"/>
      <c r="S5" s="3220"/>
      <c r="T5" s="3219"/>
      <c r="U5" s="3220"/>
      <c r="V5" s="3242"/>
      <c r="W5" s="3242"/>
      <c r="X5" s="1394"/>
      <c r="Y5" s="3219"/>
      <c r="Z5" s="3220"/>
      <c r="AA5" s="3213"/>
      <c r="AB5" s="3213"/>
      <c r="AC5" s="3213"/>
    </row>
    <row r="6" spans="1:29" ht="15.75" thickBot="1">
      <c r="A6" s="356"/>
      <c r="B6" s="357"/>
      <c r="C6" s="3280" t="s">
        <v>2377</v>
      </c>
      <c r="D6" s="3281"/>
      <c r="E6" s="3282" t="s">
        <v>2377</v>
      </c>
      <c r="F6" s="3283"/>
      <c r="G6" s="3280" t="s">
        <v>2377</v>
      </c>
      <c r="H6" s="3281"/>
      <c r="I6" s="3280" t="s">
        <v>2377</v>
      </c>
      <c r="J6" s="3281"/>
      <c r="K6" s="545" t="s">
        <v>2128</v>
      </c>
      <c r="L6" s="2653"/>
      <c r="M6" s="2654"/>
      <c r="N6" s="2654"/>
      <c r="O6" s="2654"/>
      <c r="P6" s="3238"/>
      <c r="Q6" s="3239"/>
      <c r="R6" s="3219"/>
      <c r="S6" s="3220"/>
      <c r="T6" s="3240"/>
      <c r="U6" s="3241"/>
      <c r="V6" s="3242"/>
      <c r="W6" s="3242"/>
      <c r="X6" s="1394"/>
      <c r="Y6" s="3240"/>
      <c r="Z6" s="3241"/>
      <c r="AA6" s="3214"/>
      <c r="AB6" s="3214"/>
      <c r="AC6" s="3214"/>
    </row>
    <row r="7" spans="1:29" s="107" customFormat="1" ht="15.75" thickBot="1">
      <c r="A7" s="358" t="s">
        <v>2129</v>
      </c>
      <c r="B7" s="359"/>
      <c r="C7" s="360">
        <f>'数据-取费表'!B2</f>
        <v>44848</v>
      </c>
      <c r="D7" s="361">
        <v>100</v>
      </c>
      <c r="E7" s="362"/>
      <c r="F7" s="363">
        <f>SUMIF(65:65,YEAR(E7)&amp;"-"&amp;INT((MONTH(E7)+2)/3),66:66)</f>
        <v>0</v>
      </c>
      <c r="G7" s="1952"/>
      <c r="H7" s="361">
        <f>SUMIF(65:65,YEAR(G7)&amp;"-"&amp;INT((MONTH(G7)+2)/3),66:66)</f>
        <v>0</v>
      </c>
      <c r="I7" s="1952"/>
      <c r="J7" s="361">
        <f>SUMIF(65:65,YEAR(I7)&amp;"-"&amp;INT((MONTH(I7)+2)/3),66:66)</f>
        <v>0</v>
      </c>
      <c r="K7" s="41"/>
      <c r="L7" s="2655"/>
      <c r="M7" s="2606"/>
      <c r="N7" s="2606"/>
      <c r="O7" s="2606"/>
      <c r="P7" s="3215" t="s">
        <v>2130</v>
      </c>
      <c r="Q7" s="3243"/>
      <c r="R7" s="673" t="s">
        <v>17</v>
      </c>
      <c r="S7" s="674">
        <f t="shared" ref="S7:S15" si="0">F7</f>
        <v>0</v>
      </c>
      <c r="T7" s="673" t="s">
        <v>17</v>
      </c>
      <c r="U7" s="674">
        <f t="shared" ref="U7:U15" si="1">H7</f>
        <v>0</v>
      </c>
      <c r="V7" s="673" t="s">
        <v>17</v>
      </c>
      <c r="W7" s="674">
        <f t="shared" ref="W7:W15" si="2">J7</f>
        <v>0</v>
      </c>
      <c r="X7" s="675"/>
      <c r="Y7" s="3215" t="s">
        <v>2130</v>
      </c>
      <c r="Z7" s="3216"/>
      <c r="AA7" s="53" t="e">
        <f>D7/F7</f>
        <v>#DIV/0!</v>
      </c>
      <c r="AB7" s="53" t="e">
        <f>D7/H7</f>
        <v>#DIV/0!</v>
      </c>
      <c r="AC7" s="53" t="e">
        <f>D7/J7</f>
        <v>#DIV/0!</v>
      </c>
    </row>
    <row r="8" spans="1:29" s="107" customFormat="1" ht="15.75" thickBot="1">
      <c r="A8" s="358" t="s">
        <v>2131</v>
      </c>
      <c r="B8" s="359"/>
      <c r="C8" s="364" t="s">
        <v>2132</v>
      </c>
      <c r="D8" s="361">
        <v>100</v>
      </c>
      <c r="E8" s="364"/>
      <c r="F8" s="363">
        <f>SUMIF(68:68,E8,69:69)-SUMIF(68:68,C8,69:69)+100</f>
        <v>0</v>
      </c>
      <c r="G8" s="364"/>
      <c r="H8" s="361">
        <f>SUMIF(68:68,G8,69:69)-SUMIF(68:68,C8,69:69)+100</f>
        <v>0</v>
      </c>
      <c r="I8" s="364"/>
      <c r="J8" s="361">
        <f>SUMIF(68:68,I8,69:69)-SUMIF(68:68,C8,69:69)+100</f>
        <v>0</v>
      </c>
      <c r="K8" s="41"/>
      <c r="L8" s="2655"/>
      <c r="M8" s="2606"/>
      <c r="N8" s="2606"/>
      <c r="O8" s="2606"/>
      <c r="P8" s="3215" t="s">
        <v>2133</v>
      </c>
      <c r="Q8" s="3216"/>
      <c r="R8" s="673" t="s">
        <v>17</v>
      </c>
      <c r="S8" s="674">
        <f t="shared" si="0"/>
        <v>0</v>
      </c>
      <c r="T8" s="673" t="s">
        <v>17</v>
      </c>
      <c r="U8" s="674">
        <f t="shared" si="1"/>
        <v>0</v>
      </c>
      <c r="V8" s="673" t="s">
        <v>17</v>
      </c>
      <c r="W8" s="674">
        <f t="shared" si="2"/>
        <v>0</v>
      </c>
      <c r="X8" s="675"/>
      <c r="Y8" s="3215" t="s">
        <v>2133</v>
      </c>
      <c r="Z8" s="3216"/>
      <c r="AA8" s="53" t="e">
        <f t="shared" ref="AA8:AA40" si="3">D8/F8</f>
        <v>#DIV/0!</v>
      </c>
      <c r="AB8" s="53" t="e">
        <f t="shared" ref="AB8:AB40" si="4">D8/H8</f>
        <v>#DIV/0!</v>
      </c>
      <c r="AC8" s="53" t="e">
        <f t="shared" ref="AC8:AC40" si="5">D8/J8</f>
        <v>#DIV/0!</v>
      </c>
    </row>
    <row r="9" spans="1:29" s="107" customFormat="1">
      <c r="A9" s="365" t="s">
        <v>2134</v>
      </c>
      <c r="B9" s="64" t="s">
        <v>2135</v>
      </c>
      <c r="C9" s="1955"/>
      <c r="D9" s="63">
        <v>100</v>
      </c>
      <c r="E9" s="1955"/>
      <c r="F9" s="63">
        <f>SUMIF(70:70,E9,71:71)-SUMIF(70:70,C9,71:71)+100</f>
        <v>100</v>
      </c>
      <c r="G9" s="1955"/>
      <c r="H9" s="63">
        <f>SUMIF(70:70,G9,71:71)-SUMIF(70:70,C9,71:71)+100</f>
        <v>100</v>
      </c>
      <c r="I9" s="1955"/>
      <c r="J9" s="63">
        <f>SUMIF(70:70,I9,71:71)-SUMIF(70:70,C9,71:71)+100</f>
        <v>100</v>
      </c>
      <c r="K9" s="41"/>
      <c r="L9" s="2655"/>
      <c r="M9" s="2606"/>
      <c r="N9" s="2606"/>
      <c r="O9" s="2707"/>
      <c r="P9" s="3247" t="s">
        <v>2136</v>
      </c>
      <c r="Q9" s="538" t="str">
        <f t="shared" ref="Q9:Q15" si="6">B9</f>
        <v>用途</v>
      </c>
      <c r="R9" s="673" t="s">
        <v>17</v>
      </c>
      <c r="S9" s="674">
        <f t="shared" si="0"/>
        <v>100</v>
      </c>
      <c r="T9" s="673" t="s">
        <v>17</v>
      </c>
      <c r="U9" s="674">
        <f t="shared" si="1"/>
        <v>100</v>
      </c>
      <c r="V9" s="673" t="s">
        <v>17</v>
      </c>
      <c r="W9" s="674">
        <f t="shared" si="2"/>
        <v>100</v>
      </c>
      <c r="X9" s="675"/>
      <c r="Y9" s="3159" t="s">
        <v>2137</v>
      </c>
      <c r="Z9" s="53" t="str">
        <f t="shared" ref="Z9:Z15" si="7">Q9</f>
        <v>用途</v>
      </c>
      <c r="AA9" s="53">
        <f t="shared" si="3"/>
        <v>1</v>
      </c>
      <c r="AB9" s="53">
        <f t="shared" si="4"/>
        <v>1</v>
      </c>
      <c r="AC9" s="53">
        <f t="shared" si="5"/>
        <v>1</v>
      </c>
    </row>
    <row r="10" spans="1:29" s="374" customFormat="1" ht="27">
      <c r="A10" s="369"/>
      <c r="B10" s="370" t="s">
        <v>2138</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47"/>
      <c r="Q10" s="538" t="str">
        <f t="shared" si="6"/>
        <v>土地使用年限（年）</v>
      </c>
      <c r="R10" s="673" t="s">
        <v>17</v>
      </c>
      <c r="S10" s="674" t="e">
        <f t="shared" si="0"/>
        <v>#DIV/0!</v>
      </c>
      <c r="T10" s="673" t="s">
        <v>17</v>
      </c>
      <c r="U10" s="674" t="e">
        <f t="shared" si="1"/>
        <v>#DIV/0!</v>
      </c>
      <c r="V10" s="673" t="s">
        <v>17</v>
      </c>
      <c r="W10" s="674" t="e">
        <f t="shared" si="2"/>
        <v>#DIV/0!</v>
      </c>
      <c r="X10" s="675"/>
      <c r="Y10" s="3159"/>
      <c r="Z10" s="53" t="str">
        <f t="shared" si="7"/>
        <v>土地使用年限（年）</v>
      </c>
      <c r="AA10" s="53" t="e">
        <f t="shared" si="3"/>
        <v>#DIV/0!</v>
      </c>
      <c r="AB10" s="53" t="e">
        <f t="shared" si="4"/>
        <v>#DIV/0!</v>
      </c>
      <c r="AC10" s="53" t="e">
        <f t="shared" si="5"/>
        <v>#DIV/0!</v>
      </c>
    </row>
    <row r="11" spans="1:29" ht="15">
      <c r="A11" s="375"/>
      <c r="B11" s="370" t="s">
        <v>2139</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47"/>
      <c r="Q11" s="538" t="str">
        <f t="shared" si="6"/>
        <v>容积率</v>
      </c>
      <c r="R11" s="673" t="s">
        <v>17</v>
      </c>
      <c r="S11" s="674" t="e">
        <f t="shared" si="0"/>
        <v>#N/A</v>
      </c>
      <c r="T11" s="673" t="s">
        <v>17</v>
      </c>
      <c r="U11" s="674" t="e">
        <f t="shared" si="1"/>
        <v>#N/A</v>
      </c>
      <c r="V11" s="673" t="s">
        <v>17</v>
      </c>
      <c r="W11" s="674" t="e">
        <f t="shared" si="2"/>
        <v>#N/A</v>
      </c>
      <c r="X11" s="675"/>
      <c r="Y11" s="3159"/>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6"/>
      <c r="N12" s="2606"/>
      <c r="O12" s="2707"/>
      <c r="P12" s="3247"/>
      <c r="Q12" s="538">
        <f t="shared" si="6"/>
        <v>111</v>
      </c>
      <c r="R12" s="673" t="s">
        <v>17</v>
      </c>
      <c r="S12" s="674">
        <f t="shared" si="0"/>
        <v>100</v>
      </c>
      <c r="T12" s="673" t="s">
        <v>17</v>
      </c>
      <c r="U12" s="674">
        <f t="shared" si="1"/>
        <v>100</v>
      </c>
      <c r="V12" s="673" t="s">
        <v>17</v>
      </c>
      <c r="W12" s="674">
        <f t="shared" si="2"/>
        <v>100</v>
      </c>
      <c r="X12" s="675"/>
      <c r="Y12" s="3159"/>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47"/>
      <c r="Q13" s="538">
        <f t="shared" si="6"/>
        <v>111</v>
      </c>
      <c r="R13" s="673" t="s">
        <v>17</v>
      </c>
      <c r="S13" s="674">
        <f t="shared" si="0"/>
        <v>100</v>
      </c>
      <c r="T13" s="673" t="s">
        <v>17</v>
      </c>
      <c r="U13" s="674">
        <f t="shared" si="1"/>
        <v>100</v>
      </c>
      <c r="V13" s="673" t="s">
        <v>17</v>
      </c>
      <c r="W13" s="674">
        <f t="shared" si="2"/>
        <v>100</v>
      </c>
      <c r="X13" s="675"/>
      <c r="Y13" s="3159"/>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47"/>
      <c r="Q14" s="538">
        <f t="shared" si="6"/>
        <v>111</v>
      </c>
      <c r="R14" s="673" t="s">
        <v>17</v>
      </c>
      <c r="S14" s="674">
        <f t="shared" si="0"/>
        <v>100</v>
      </c>
      <c r="T14" s="673" t="s">
        <v>17</v>
      </c>
      <c r="U14" s="674">
        <f t="shared" si="1"/>
        <v>100</v>
      </c>
      <c r="V14" s="673" t="s">
        <v>17</v>
      </c>
      <c r="W14" s="674">
        <f t="shared" si="2"/>
        <v>100</v>
      </c>
      <c r="X14" s="675"/>
      <c r="Y14" s="3159"/>
      <c r="Z14" s="53">
        <f t="shared" si="7"/>
        <v>111</v>
      </c>
      <c r="AA14" s="53">
        <f t="shared" si="3"/>
        <v>1</v>
      </c>
      <c r="AB14" s="53">
        <f t="shared" si="4"/>
        <v>1</v>
      </c>
      <c r="AC14" s="53">
        <f t="shared" si="5"/>
        <v>1</v>
      </c>
    </row>
    <row r="15" spans="1:29" ht="57">
      <c r="A15" s="387" t="s">
        <v>2140</v>
      </c>
      <c r="B15" s="562" t="s">
        <v>2378</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48" t="s">
        <v>2141</v>
      </c>
      <c r="Q15" s="1392" t="str">
        <f t="shared" si="6"/>
        <v>产业集聚程度</v>
      </c>
      <c r="R15" s="676" t="s">
        <v>17</v>
      </c>
      <c r="S15" s="677">
        <f t="shared" si="0"/>
        <v>100</v>
      </c>
      <c r="T15" s="676" t="s">
        <v>17</v>
      </c>
      <c r="U15" s="677">
        <f t="shared" si="1"/>
        <v>100</v>
      </c>
      <c r="V15" s="676" t="s">
        <v>17</v>
      </c>
      <c r="W15" s="677">
        <f t="shared" si="2"/>
        <v>100</v>
      </c>
      <c r="X15" s="1394"/>
      <c r="Y15" s="3248" t="s">
        <v>2141</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9"/>
      <c r="M16" s="2654"/>
      <c r="N16" s="2654"/>
      <c r="O16" s="2709"/>
      <c r="P16" s="3249"/>
      <c r="Q16" s="1392"/>
      <c r="R16" s="676"/>
      <c r="S16" s="677"/>
      <c r="T16" s="676"/>
      <c r="U16" s="677"/>
      <c r="V16" s="676"/>
      <c r="W16" s="677"/>
      <c r="X16" s="1394"/>
      <c r="Y16" s="3249"/>
      <c r="Z16" s="1393"/>
      <c r="AA16" s="1393">
        <v>1</v>
      </c>
      <c r="AB16" s="1393">
        <v>1</v>
      </c>
      <c r="AC16" s="1393">
        <v>1</v>
      </c>
    </row>
    <row r="17" spans="1:29" ht="85.5">
      <c r="A17" s="375"/>
      <c r="B17" s="564" t="s">
        <v>2290</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49"/>
      <c r="Q17" s="1392" t="str">
        <f>B17</f>
        <v>交通便捷度</v>
      </c>
      <c r="R17" s="676" t="s">
        <v>17</v>
      </c>
      <c r="S17" s="677">
        <f>F17</f>
        <v>100</v>
      </c>
      <c r="T17" s="676" t="s">
        <v>17</v>
      </c>
      <c r="U17" s="677">
        <f>H17</f>
        <v>100</v>
      </c>
      <c r="V17" s="676" t="s">
        <v>17</v>
      </c>
      <c r="W17" s="677">
        <f>J17</f>
        <v>100</v>
      </c>
      <c r="X17" s="1394"/>
      <c r="Y17" s="3249"/>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9"/>
      <c r="M18" s="2654"/>
      <c r="N18" s="2654"/>
      <c r="O18" s="2709"/>
      <c r="P18" s="3249"/>
      <c r="Q18" s="1392"/>
      <c r="R18" s="676"/>
      <c r="S18" s="677"/>
      <c r="T18" s="676"/>
      <c r="U18" s="677"/>
      <c r="V18" s="676"/>
      <c r="W18" s="677"/>
      <c r="X18" s="1394"/>
      <c r="Y18" s="3249"/>
      <c r="Z18" s="1393"/>
      <c r="AA18" s="1393">
        <v>1</v>
      </c>
      <c r="AB18" s="1393">
        <v>1</v>
      </c>
      <c r="AC18" s="1393">
        <v>1</v>
      </c>
    </row>
    <row r="19" spans="1:29" ht="15">
      <c r="A19" s="375"/>
      <c r="B19" s="564" t="s">
        <v>2329</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49"/>
      <c r="Q19" s="1392" t="str">
        <f t="shared" ref="Q19:Q33" si="8">B19</f>
        <v>区域土地利用方向</v>
      </c>
      <c r="R19" s="676" t="s">
        <v>17</v>
      </c>
      <c r="S19" s="677">
        <f>F19</f>
        <v>100</v>
      </c>
      <c r="T19" s="676" t="s">
        <v>17</v>
      </c>
      <c r="U19" s="677">
        <f>H19</f>
        <v>100</v>
      </c>
      <c r="V19" s="676" t="s">
        <v>17</v>
      </c>
      <c r="W19" s="677">
        <f>J19</f>
        <v>100</v>
      </c>
      <c r="X19" s="1394"/>
      <c r="Y19" s="3249"/>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9"/>
      <c r="M20" s="2654"/>
      <c r="N20" s="2654"/>
      <c r="O20" s="2709"/>
      <c r="P20" s="3249"/>
      <c r="Q20" s="1392"/>
      <c r="R20" s="676"/>
      <c r="S20" s="677"/>
      <c r="T20" s="676"/>
      <c r="U20" s="677"/>
      <c r="V20" s="676"/>
      <c r="W20" s="677"/>
      <c r="X20" s="1394"/>
      <c r="Y20" s="3249"/>
      <c r="Z20" s="1393"/>
      <c r="AA20" s="1393"/>
      <c r="AB20" s="1393"/>
      <c r="AC20" s="1393"/>
    </row>
    <row r="21" spans="1:29" ht="71.25">
      <c r="A21" s="354"/>
      <c r="B21" s="564" t="s">
        <v>2379</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49"/>
      <c r="Q21" s="1392" t="str">
        <f t="shared" si="8"/>
        <v>环境状况</v>
      </c>
      <c r="R21" s="676" t="s">
        <v>17</v>
      </c>
      <c r="S21" s="677">
        <f>F21</f>
        <v>100</v>
      </c>
      <c r="T21" s="676" t="s">
        <v>17</v>
      </c>
      <c r="U21" s="677">
        <f>H21</f>
        <v>100</v>
      </c>
      <c r="V21" s="676" t="s">
        <v>17</v>
      </c>
      <c r="W21" s="677">
        <f>J21</f>
        <v>100</v>
      </c>
      <c r="X21" s="1394"/>
      <c r="Y21" s="3249"/>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9"/>
      <c r="M22" s="2654"/>
      <c r="N22" s="2654"/>
      <c r="O22" s="2709"/>
      <c r="P22" s="3249"/>
      <c r="Q22" s="1392"/>
      <c r="R22" s="676"/>
      <c r="S22" s="677"/>
      <c r="T22" s="676"/>
      <c r="U22" s="677"/>
      <c r="V22" s="676"/>
      <c r="W22" s="677"/>
      <c r="X22" s="1394"/>
      <c r="Y22" s="3249"/>
      <c r="Z22" s="1393"/>
      <c r="AA22" s="1393">
        <v>1</v>
      </c>
      <c r="AB22" s="1393">
        <v>1</v>
      </c>
      <c r="AC22" s="1393">
        <v>1</v>
      </c>
    </row>
    <row r="23" spans="1:29" s="107" customFormat="1" ht="42.75">
      <c r="A23" s="451"/>
      <c r="B23" s="565" t="s">
        <v>2235</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6"/>
      <c r="N23" s="2606"/>
      <c r="O23" s="2707"/>
      <c r="P23" s="3249"/>
      <c r="Q23" s="538" t="str">
        <f t="shared" si="8"/>
        <v>公共配套设施</v>
      </c>
      <c r="R23" s="673" t="s">
        <v>17</v>
      </c>
      <c r="S23" s="674">
        <f>F23</f>
        <v>100</v>
      </c>
      <c r="T23" s="673" t="s">
        <v>17</v>
      </c>
      <c r="U23" s="674">
        <f>H23</f>
        <v>100</v>
      </c>
      <c r="V23" s="673" t="s">
        <v>17</v>
      </c>
      <c r="W23" s="674">
        <f>J23</f>
        <v>100</v>
      </c>
      <c r="X23" s="675"/>
      <c r="Y23" s="3249"/>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5"/>
      <c r="M24" s="2606"/>
      <c r="N24" s="2606"/>
      <c r="O24" s="2707"/>
      <c r="P24" s="3249"/>
      <c r="Q24" s="538"/>
      <c r="R24" s="673"/>
      <c r="S24" s="674"/>
      <c r="T24" s="673"/>
      <c r="U24" s="674"/>
      <c r="V24" s="673"/>
      <c r="W24" s="674"/>
      <c r="X24" s="675"/>
      <c r="Y24" s="3249"/>
      <c r="Z24" s="53"/>
      <c r="AA24" s="53">
        <v>1</v>
      </c>
      <c r="AB24" s="53">
        <v>1</v>
      </c>
      <c r="AC24" s="53">
        <v>1</v>
      </c>
    </row>
    <row r="25" spans="1:29" s="107" customFormat="1" ht="28.5">
      <c r="A25" s="451"/>
      <c r="B25" s="565" t="s">
        <v>2236</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6"/>
      <c r="N25" s="2606"/>
      <c r="O25" s="2707"/>
      <c r="P25" s="3249"/>
      <c r="Q25" s="538" t="str">
        <f t="shared" ref="Q25" si="9">B25</f>
        <v>基础设施水平</v>
      </c>
      <c r="R25" s="673" t="s">
        <v>17</v>
      </c>
      <c r="S25" s="674">
        <f>F25</f>
        <v>100</v>
      </c>
      <c r="T25" s="673" t="s">
        <v>17</v>
      </c>
      <c r="U25" s="674">
        <f>H25</f>
        <v>100</v>
      </c>
      <c r="V25" s="673" t="s">
        <v>17</v>
      </c>
      <c r="W25" s="674">
        <f>J25</f>
        <v>100</v>
      </c>
      <c r="X25" s="675"/>
      <c r="Y25" s="3249"/>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5"/>
      <c r="M26" s="2606"/>
      <c r="N26" s="2606"/>
      <c r="O26" s="2707"/>
      <c r="P26" s="3249"/>
      <c r="Q26" s="538"/>
      <c r="R26" s="673"/>
      <c r="S26" s="674"/>
      <c r="T26" s="673"/>
      <c r="U26" s="674"/>
      <c r="V26" s="673"/>
      <c r="W26" s="674"/>
      <c r="X26" s="675"/>
      <c r="Y26" s="3249"/>
      <c r="Z26" s="53"/>
      <c r="AA26" s="53">
        <v>1</v>
      </c>
      <c r="AB26" s="53">
        <v>1</v>
      </c>
      <c r="AC26" s="53">
        <v>1</v>
      </c>
    </row>
    <row r="27" spans="1:29" ht="15">
      <c r="A27" s="375"/>
      <c r="B27" s="409" t="s">
        <v>2237</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49"/>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49"/>
      <c r="Z27" s="1393" t="str">
        <f t="shared" ref="Z27:Z40" si="13">Q27</f>
        <v>临街状况</v>
      </c>
      <c r="AA27" s="1393">
        <f t="shared" si="3"/>
        <v>1</v>
      </c>
      <c r="AB27" s="1393">
        <f t="shared" si="4"/>
        <v>1</v>
      </c>
      <c r="AC27" s="1393">
        <f t="shared" si="5"/>
        <v>1</v>
      </c>
    </row>
    <row r="28" spans="1:29" ht="27">
      <c r="A28" s="375"/>
      <c r="B28" s="565" t="s">
        <v>2272</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49"/>
      <c r="Q28" s="1392" t="str">
        <f t="shared" si="8"/>
        <v>毗邻道路的类型与等级</v>
      </c>
      <c r="R28" s="676" t="s">
        <v>17</v>
      </c>
      <c r="S28" s="677">
        <f t="shared" si="10"/>
        <v>100</v>
      </c>
      <c r="T28" s="676" t="s">
        <v>17</v>
      </c>
      <c r="U28" s="677">
        <f t="shared" si="11"/>
        <v>100</v>
      </c>
      <c r="V28" s="676" t="s">
        <v>17</v>
      </c>
      <c r="W28" s="677">
        <f t="shared" si="12"/>
        <v>100</v>
      </c>
      <c r="X28" s="1394"/>
      <c r="Y28" s="3249"/>
      <c r="Z28" s="1393" t="str">
        <f t="shared" si="13"/>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9"/>
      <c r="M29" s="2654"/>
      <c r="N29" s="2654"/>
      <c r="O29" s="2709"/>
      <c r="P29" s="3249"/>
      <c r="Q29" s="1392"/>
      <c r="R29" s="676"/>
      <c r="S29" s="677"/>
      <c r="T29" s="676"/>
      <c r="U29" s="677"/>
      <c r="V29" s="676"/>
      <c r="W29" s="677"/>
      <c r="X29" s="1394"/>
      <c r="Y29" s="3249"/>
      <c r="Z29" s="1393"/>
      <c r="AA29" s="1393">
        <v>1</v>
      </c>
      <c r="AB29" s="1393">
        <v>1</v>
      </c>
      <c r="AC29" s="1393">
        <v>1</v>
      </c>
    </row>
    <row r="30" spans="1:29" ht="15">
      <c r="A30" s="375"/>
      <c r="B30" s="124" t="s">
        <v>2331</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49"/>
      <c r="Q30" s="1392" t="str">
        <f t="shared" si="8"/>
        <v>土地级别</v>
      </c>
      <c r="R30" s="676" t="s">
        <v>17</v>
      </c>
      <c r="S30" s="677">
        <f t="shared" si="10"/>
        <v>100</v>
      </c>
      <c r="T30" s="676" t="s">
        <v>17</v>
      </c>
      <c r="U30" s="677">
        <f t="shared" si="11"/>
        <v>100</v>
      </c>
      <c r="V30" s="676" t="s">
        <v>17</v>
      </c>
      <c r="W30" s="677">
        <f t="shared" si="12"/>
        <v>100</v>
      </c>
      <c r="X30" s="1394"/>
      <c r="Y30" s="3249"/>
      <c r="Z30" s="1393" t="str">
        <f t="shared" si="13"/>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49"/>
      <c r="Q31" s="1392">
        <f t="shared" si="8"/>
        <v>111</v>
      </c>
      <c r="R31" s="676" t="s">
        <v>17</v>
      </c>
      <c r="S31" s="677">
        <f t="shared" si="10"/>
        <v>100</v>
      </c>
      <c r="T31" s="676" t="s">
        <v>17</v>
      </c>
      <c r="U31" s="677">
        <f t="shared" si="11"/>
        <v>100</v>
      </c>
      <c r="V31" s="676" t="s">
        <v>17</v>
      </c>
      <c r="W31" s="677">
        <f t="shared" si="12"/>
        <v>100</v>
      </c>
      <c r="X31" s="1394"/>
      <c r="Y31" s="3249"/>
      <c r="Z31" s="1393">
        <f t="shared" si="13"/>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275" t="s">
        <v>2146</v>
      </c>
      <c r="Q32" s="1392">
        <f t="shared" si="8"/>
        <v>111</v>
      </c>
      <c r="R32" s="676" t="s">
        <v>17</v>
      </c>
      <c r="S32" s="677">
        <f t="shared" si="10"/>
        <v>100</v>
      </c>
      <c r="T32" s="676" t="s">
        <v>17</v>
      </c>
      <c r="U32" s="677">
        <f t="shared" si="11"/>
        <v>100</v>
      </c>
      <c r="V32" s="676" t="s">
        <v>17</v>
      </c>
      <c r="W32" s="677">
        <f t="shared" si="12"/>
        <v>100</v>
      </c>
      <c r="X32" s="1394"/>
      <c r="Y32" s="3253" t="s">
        <v>2146</v>
      </c>
      <c r="Z32" s="1393">
        <f t="shared" si="13"/>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53"/>
      <c r="Q33" s="1392">
        <f t="shared" si="8"/>
        <v>111</v>
      </c>
      <c r="R33" s="678" t="s">
        <v>17</v>
      </c>
      <c r="S33" s="679">
        <f t="shared" si="10"/>
        <v>100</v>
      </c>
      <c r="T33" s="678" t="s">
        <v>17</v>
      </c>
      <c r="U33" s="679">
        <f t="shared" si="11"/>
        <v>100</v>
      </c>
      <c r="V33" s="678" t="s">
        <v>17</v>
      </c>
      <c r="W33" s="679">
        <f t="shared" si="12"/>
        <v>100</v>
      </c>
      <c r="X33" s="680"/>
      <c r="Y33" s="3253"/>
      <c r="Z33" s="681">
        <f t="shared" si="13"/>
        <v>111</v>
      </c>
      <c r="AA33" s="1393">
        <f t="shared" si="3"/>
        <v>1</v>
      </c>
      <c r="AB33" s="1393">
        <f t="shared" si="4"/>
        <v>1</v>
      </c>
      <c r="AC33" s="1393">
        <f t="shared" si="5"/>
        <v>1</v>
      </c>
    </row>
    <row r="34" spans="1:31" ht="15">
      <c r="A34" s="387" t="s">
        <v>2144</v>
      </c>
      <c r="B34" s="403" t="s">
        <v>2332</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53"/>
      <c r="Q34" s="1392" t="str">
        <f>B34</f>
        <v>宗地面积</v>
      </c>
      <c r="R34" s="676" t="s">
        <v>17</v>
      </c>
      <c r="S34" s="677" t="e">
        <f t="shared" si="10"/>
        <v>#N/A</v>
      </c>
      <c r="T34" s="676" t="s">
        <v>17</v>
      </c>
      <c r="U34" s="677" t="e">
        <f t="shared" si="11"/>
        <v>#N/A</v>
      </c>
      <c r="V34" s="676" t="s">
        <v>17</v>
      </c>
      <c r="W34" s="677" t="e">
        <f t="shared" si="12"/>
        <v>#N/A</v>
      </c>
      <c r="X34" s="1394"/>
      <c r="Y34" s="3253"/>
      <c r="Z34" s="1393" t="str">
        <f t="shared" si="13"/>
        <v>宗地面积</v>
      </c>
      <c r="AA34" s="1393" t="e">
        <f t="shared" si="3"/>
        <v>#N/A</v>
      </c>
      <c r="AB34" s="1393" t="e">
        <f t="shared" si="4"/>
        <v>#N/A</v>
      </c>
      <c r="AC34" s="1393" t="e">
        <f t="shared" si="5"/>
        <v>#N/A</v>
      </c>
    </row>
    <row r="35" spans="1:31" ht="15">
      <c r="A35" s="417"/>
      <c r="B35" s="370" t="s">
        <v>2333</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53"/>
      <c r="Q35" s="1392" t="str">
        <f t="shared" ref="Q35:Q40" si="14">B35</f>
        <v>宗地形状</v>
      </c>
      <c r="R35" s="676" t="s">
        <v>17</v>
      </c>
      <c r="S35" s="677">
        <f t="shared" si="10"/>
        <v>100</v>
      </c>
      <c r="T35" s="676" t="s">
        <v>17</v>
      </c>
      <c r="U35" s="677">
        <f t="shared" si="11"/>
        <v>100</v>
      </c>
      <c r="V35" s="676" t="s">
        <v>17</v>
      </c>
      <c r="W35" s="677">
        <f t="shared" si="12"/>
        <v>100</v>
      </c>
      <c r="X35" s="1394"/>
      <c r="Y35" s="3253"/>
      <c r="Z35" s="1393" t="str">
        <f t="shared" si="13"/>
        <v>宗地形状</v>
      </c>
      <c r="AA35" s="1393">
        <f t="shared" si="3"/>
        <v>1</v>
      </c>
      <c r="AB35" s="1393">
        <f t="shared" si="4"/>
        <v>1</v>
      </c>
      <c r="AC35" s="1393">
        <f t="shared" si="5"/>
        <v>1</v>
      </c>
    </row>
    <row r="36" spans="1:31" s="107" customFormat="1" ht="15">
      <c r="A36" s="418"/>
      <c r="B36" s="370" t="s">
        <v>2335</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6"/>
      <c r="N36" s="2606"/>
      <c r="O36" s="2707"/>
      <c r="P36" s="3253"/>
      <c r="Q36" s="1392" t="str">
        <f t="shared" si="14"/>
        <v>宗地开发程度</v>
      </c>
      <c r="R36" s="673" t="s">
        <v>17</v>
      </c>
      <c r="S36" s="674">
        <f t="shared" si="10"/>
        <v>100</v>
      </c>
      <c r="T36" s="673" t="s">
        <v>17</v>
      </c>
      <c r="U36" s="674">
        <f t="shared" si="11"/>
        <v>100</v>
      </c>
      <c r="V36" s="673" t="s">
        <v>17</v>
      </c>
      <c r="W36" s="674">
        <f t="shared" si="12"/>
        <v>100</v>
      </c>
      <c r="X36" s="675"/>
      <c r="Y36" s="3253"/>
      <c r="Z36" s="53" t="str">
        <f t="shared" si="13"/>
        <v>宗地开发程度</v>
      </c>
      <c r="AA36" s="53">
        <f t="shared" si="3"/>
        <v>1</v>
      </c>
      <c r="AB36" s="53">
        <f t="shared" si="4"/>
        <v>1</v>
      </c>
      <c r="AC36" s="53">
        <f t="shared" si="5"/>
        <v>1</v>
      </c>
    </row>
    <row r="37" spans="1:31" ht="15">
      <c r="A37" s="417"/>
      <c r="B37" s="370" t="s">
        <v>2336</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53" t="s">
        <v>2146</v>
      </c>
      <c r="Q37" s="1392" t="str">
        <f t="shared" si="14"/>
        <v>工程地质条件</v>
      </c>
      <c r="R37" s="676" t="s">
        <v>17</v>
      </c>
      <c r="S37" s="677">
        <f t="shared" si="10"/>
        <v>100</v>
      </c>
      <c r="T37" s="676" t="s">
        <v>17</v>
      </c>
      <c r="U37" s="677">
        <f t="shared" si="11"/>
        <v>100</v>
      </c>
      <c r="V37" s="676" t="s">
        <v>17</v>
      </c>
      <c r="W37" s="677">
        <f t="shared" si="12"/>
        <v>100</v>
      </c>
      <c r="X37" s="1394"/>
      <c r="Y37" s="3253" t="s">
        <v>2146</v>
      </c>
      <c r="Z37" s="1393" t="str">
        <f t="shared" si="13"/>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53"/>
      <c r="Q38" s="1392">
        <f t="shared" si="14"/>
        <v>111</v>
      </c>
      <c r="R38" s="676" t="s">
        <v>17</v>
      </c>
      <c r="S38" s="677">
        <f t="shared" si="10"/>
        <v>100</v>
      </c>
      <c r="T38" s="676" t="s">
        <v>17</v>
      </c>
      <c r="U38" s="677">
        <f t="shared" si="11"/>
        <v>100</v>
      </c>
      <c r="V38" s="676" t="s">
        <v>17</v>
      </c>
      <c r="W38" s="677">
        <f t="shared" si="12"/>
        <v>100</v>
      </c>
      <c r="X38" s="1394"/>
      <c r="Y38" s="3253"/>
      <c r="Z38" s="1393">
        <f t="shared" si="13"/>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53"/>
      <c r="Q39" s="1392">
        <f t="shared" si="14"/>
        <v>111</v>
      </c>
      <c r="R39" s="676" t="s">
        <v>17</v>
      </c>
      <c r="S39" s="677">
        <f t="shared" si="10"/>
        <v>100</v>
      </c>
      <c r="T39" s="676" t="s">
        <v>17</v>
      </c>
      <c r="U39" s="677">
        <f t="shared" si="11"/>
        <v>100</v>
      </c>
      <c r="V39" s="676" t="s">
        <v>17</v>
      </c>
      <c r="W39" s="677">
        <f t="shared" si="12"/>
        <v>100</v>
      </c>
      <c r="X39" s="1394"/>
      <c r="Y39" s="3253"/>
      <c r="Z39" s="1393">
        <f t="shared" si="13"/>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53"/>
      <c r="Q40" s="1392">
        <f t="shared" si="14"/>
        <v>111</v>
      </c>
      <c r="R40" s="678" t="s">
        <v>17</v>
      </c>
      <c r="S40" s="679">
        <f t="shared" si="10"/>
        <v>100</v>
      </c>
      <c r="T40" s="678" t="s">
        <v>17</v>
      </c>
      <c r="U40" s="679">
        <f t="shared" si="11"/>
        <v>100</v>
      </c>
      <c r="V40" s="678" t="s">
        <v>17</v>
      </c>
      <c r="W40" s="679">
        <f t="shared" si="12"/>
        <v>100</v>
      </c>
      <c r="X40" s="680"/>
      <c r="Y40" s="3253"/>
      <c r="Z40" s="681">
        <f t="shared" si="13"/>
        <v>111</v>
      </c>
      <c r="AA40" s="1393">
        <f t="shared" si="3"/>
        <v>1</v>
      </c>
      <c r="AB40" s="1393">
        <f t="shared" si="4"/>
        <v>1</v>
      </c>
      <c r="AC40" s="1393">
        <f t="shared" si="5"/>
        <v>1</v>
      </c>
    </row>
    <row r="41" spans="1:31" ht="15">
      <c r="A41" s="424" t="s">
        <v>2301</v>
      </c>
      <c r="B41" s="1960" t="s">
        <v>2380</v>
      </c>
      <c r="C41" s="610" t="s">
        <v>1</v>
      </c>
      <c r="D41" s="426"/>
      <c r="E41" s="427"/>
      <c r="F41" s="428"/>
      <c r="G41" s="429"/>
      <c r="H41" s="430"/>
      <c r="I41" s="427"/>
      <c r="J41" s="430"/>
      <c r="K41" s="683"/>
      <c r="L41" s="2661"/>
      <c r="M41" s="2654"/>
      <c r="N41" s="2654"/>
      <c r="O41" s="2654"/>
      <c r="P41" s="3247" t="str">
        <f>A41</f>
        <v>成交单价</v>
      </c>
      <c r="Q41" s="3247"/>
      <c r="R41" s="3242">
        <f>E41</f>
        <v>0</v>
      </c>
      <c r="S41" s="3242"/>
      <c r="T41" s="3242">
        <f>G41</f>
        <v>0</v>
      </c>
      <c r="U41" s="3242"/>
      <c r="V41" s="3242">
        <f>I41</f>
        <v>0</v>
      </c>
      <c r="W41" s="3242"/>
      <c r="X41" s="393"/>
      <c r="Y41" s="682"/>
      <c r="Z41" s="393"/>
      <c r="AA41" s="393"/>
      <c r="AB41" s="393"/>
      <c r="AC41" s="393"/>
    </row>
    <row r="42" spans="1:31" ht="15.75" thickBot="1">
      <c r="A42" s="431" t="s">
        <v>2250</v>
      </c>
      <c r="B42" s="611"/>
      <c r="C42" s="434" t="e">
        <f>R43</f>
        <v>#DIV/0!</v>
      </c>
      <c r="D42" s="2301" t="s">
        <v>2640</v>
      </c>
      <c r="E42" s="434" t="e">
        <f>R42</f>
        <v>#DIV/0!</v>
      </c>
      <c r="F42" s="2302"/>
      <c r="G42" s="433" t="e">
        <f>T42</f>
        <v>#DIV/0!</v>
      </c>
      <c r="H42" s="2302"/>
      <c r="I42" s="434" t="e">
        <f>V42</f>
        <v>#DIV/0!</v>
      </c>
      <c r="J42" s="2302"/>
      <c r="K42" s="2304">
        <f>F42+H42+J42</f>
        <v>0</v>
      </c>
      <c r="L42" s="2661"/>
      <c r="M42" s="2654"/>
      <c r="N42" s="2654"/>
      <c r="O42" s="2654"/>
      <c r="P42" s="3247" t="str">
        <f>A42</f>
        <v>比较价值（元/平方米）</v>
      </c>
      <c r="Q42" s="3247"/>
      <c r="R42" s="3277" t="e">
        <f>ROUND(PRODUCT(R41,AA7:AA40),0)</f>
        <v>#DIV/0!</v>
      </c>
      <c r="S42" s="3277"/>
      <c r="T42" s="3277" t="e">
        <f>ROUND(PRODUCT(T41,AB7:AB40),0)</f>
        <v>#DIV/0!</v>
      </c>
      <c r="U42" s="3277"/>
      <c r="V42" s="3277" t="e">
        <f>ROUND(PRODUCT(V41,AC7:AC40),0)</f>
        <v>#DIV/0!</v>
      </c>
      <c r="W42" s="3277"/>
      <c r="X42" s="393"/>
      <c r="Y42" s="393"/>
      <c r="Z42" s="393"/>
      <c r="AA42" s="393"/>
      <c r="AB42" s="393"/>
      <c r="AC42" s="393"/>
    </row>
    <row r="43" spans="1:31" ht="15.75" thickBot="1">
      <c r="A43" s="435" t="s">
        <v>2251</v>
      </c>
      <c r="B43" s="436"/>
      <c r="C43" s="437" t="e">
        <f>R43</f>
        <v>#DIV/0!</v>
      </c>
      <c r="D43" s="437"/>
      <c r="E43" s="437"/>
      <c r="F43" s="437"/>
      <c r="G43" s="437"/>
      <c r="H43" s="437"/>
      <c r="I43" s="437"/>
      <c r="J43" s="437"/>
      <c r="K43" s="684"/>
      <c r="L43" s="2661"/>
      <c r="M43" s="2654"/>
      <c r="N43" s="2654"/>
      <c r="O43" s="2654"/>
      <c r="P43" s="3244" t="str">
        <f>A43</f>
        <v>估价对象XX用房的比较价值（楼面单价，元/平方米）</v>
      </c>
      <c r="Q43" s="3245"/>
      <c r="R43" s="3278" t="e">
        <f>ROUND(IF(D42="简单平均",AVERAGE(R42:W42),R42*F42+T42*H42+V42*J42),0)</f>
        <v>#DIV/0!</v>
      </c>
      <c r="S43" s="3278"/>
      <c r="T43" s="3278"/>
      <c r="U43" s="3278"/>
      <c r="V43" s="3278"/>
      <c r="W43" s="3278"/>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7">
      <c r="A50" s="612" t="s">
        <v>2339</v>
      </c>
      <c r="B50" s="613" t="s">
        <v>2340</v>
      </c>
      <c r="C50" s="1961" t="s">
        <v>2341</v>
      </c>
      <c r="D50" s="1962" t="s">
        <v>2342</v>
      </c>
      <c r="E50" s="614" t="s">
        <v>2343</v>
      </c>
      <c r="F50" s="615" t="s">
        <v>2344</v>
      </c>
      <c r="G50" s="3230" t="s">
        <v>2345</v>
      </c>
      <c r="H50" s="3279"/>
      <c r="I50" s="1393" t="s">
        <v>2381</v>
      </c>
      <c r="J50" s="1393">
        <f>项目基本情况!F35</f>
        <v>0</v>
      </c>
      <c r="K50" s="1964" t="s">
        <v>2347</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2348</v>
      </c>
      <c r="B51" s="617" t="e">
        <f>C43</f>
        <v>#DIV/0!</v>
      </c>
      <c r="C51" s="618">
        <v>1</v>
      </c>
      <c r="D51" s="997">
        <v>1</v>
      </c>
      <c r="E51" s="618">
        <f>'数据-汇总表'!E8+'数据-汇总表'!E9</f>
        <v>11320.8</v>
      </c>
      <c r="F51" s="619" t="e">
        <f t="shared" ref="F51:F60" si="15">ROUND(B51*E51/10000,0)</f>
        <v>#DIV/0!</v>
      </c>
      <c r="G51" s="3229"/>
      <c r="H51" s="3247"/>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2349</v>
      </c>
      <c r="B52" s="216" t="e">
        <f>ROUND($C$43*C52*D52,0)</f>
        <v>#DIV/0!</v>
      </c>
      <c r="C52" s="168">
        <f t="shared" ref="C52:C60" si="16">IF($C$50="北京市系数",I52,J52)</f>
        <v>0</v>
      </c>
      <c r="D52" s="998">
        <v>0.25</v>
      </c>
      <c r="E52" s="622"/>
      <c r="F52" s="619" t="e">
        <f t="shared" si="15"/>
        <v>#DIV/0!</v>
      </c>
      <c r="G52" s="2960" t="s">
        <v>2350</v>
      </c>
      <c r="H52" s="941">
        <f>项目基本情况!B37</f>
        <v>0</v>
      </c>
      <c r="I52" s="809">
        <f>SUMIF(修正!A57:A68,H52,修正!B57:B68)</f>
        <v>0</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2351</v>
      </c>
      <c r="B53" s="216" t="e">
        <f t="shared" ref="B53:B60" si="17">ROUND($C$43*C53*D53,0)</f>
        <v>#DIV/0!</v>
      </c>
      <c r="C53" s="168">
        <f t="shared" si="16"/>
        <v>0</v>
      </c>
      <c r="D53" s="998">
        <v>0.25</v>
      </c>
      <c r="E53" s="622"/>
      <c r="F53" s="619" t="e">
        <f t="shared" si="15"/>
        <v>#DIV/0!</v>
      </c>
      <c r="G53" s="2961"/>
      <c r="H53" s="941">
        <f>项目基本情况!B37</f>
        <v>0</v>
      </c>
      <c r="I53" s="809">
        <f>SUMIF(修正!A57:A68,H53,修正!C57:C68)</f>
        <v>0</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2352</v>
      </c>
      <c r="B54" s="216" t="e">
        <f t="shared" si="17"/>
        <v>#DIV/0!</v>
      </c>
      <c r="C54" s="168">
        <f t="shared" si="16"/>
        <v>0</v>
      </c>
      <c r="D54" s="998">
        <v>0.25</v>
      </c>
      <c r="E54" s="622"/>
      <c r="F54" s="619" t="e">
        <f t="shared" si="15"/>
        <v>#DIV/0!</v>
      </c>
      <c r="G54" s="2961"/>
      <c r="H54" s="941">
        <f>项目基本情况!B37</f>
        <v>0</v>
      </c>
      <c r="I54" s="809">
        <f>SUMIF(修正!A57:A68,H54,修正!D57:D68)</f>
        <v>0</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2"/>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2353</v>
      </c>
      <c r="B56" s="216" t="e">
        <f t="shared" si="17"/>
        <v>#DIV/0!</v>
      </c>
      <c r="C56" s="168">
        <f t="shared" si="16"/>
        <v>0</v>
      </c>
      <c r="D56" s="998">
        <v>0.25</v>
      </c>
      <c r="E56" s="215">
        <f>'数据-汇总表'!E11</f>
        <v>0</v>
      </c>
      <c r="F56" s="619" t="e">
        <f t="shared" si="15"/>
        <v>#DIV/0!</v>
      </c>
      <c r="G56" s="1965" t="s">
        <v>2354</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2355</v>
      </c>
      <c r="B57" s="216" t="e">
        <f t="shared" si="17"/>
        <v>#DIV/0!</v>
      </c>
      <c r="C57" s="168">
        <f t="shared" si="16"/>
        <v>0</v>
      </c>
      <c r="D57" s="998">
        <v>0.25</v>
      </c>
      <c r="E57" s="215">
        <f>'数据-汇总表'!E12</f>
        <v>0</v>
      </c>
      <c r="F57" s="619" t="e">
        <f t="shared" si="15"/>
        <v>#DIV/0!</v>
      </c>
      <c r="G57" s="946" t="s">
        <v>2356</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2357</v>
      </c>
      <c r="B58" s="216" t="e">
        <f t="shared" si="17"/>
        <v>#DIV/0!</v>
      </c>
      <c r="C58" s="168">
        <f t="shared" si="16"/>
        <v>0</v>
      </c>
      <c r="D58" s="998">
        <v>0.25</v>
      </c>
      <c r="E58" s="215">
        <f>'数据-汇总表'!E13</f>
        <v>0</v>
      </c>
      <c r="F58" s="619" t="e">
        <f t="shared" si="15"/>
        <v>#DIV/0!</v>
      </c>
      <c r="G58" s="946" t="s">
        <v>2358</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2359</v>
      </c>
      <c r="B59" s="216" t="e">
        <f t="shared" si="17"/>
        <v>#DIV/0!</v>
      </c>
      <c r="C59" s="168">
        <f t="shared" si="16"/>
        <v>0</v>
      </c>
      <c r="D59" s="998">
        <v>0.25</v>
      </c>
      <c r="E59" s="215">
        <f>'数据-汇总表'!E14</f>
        <v>0</v>
      </c>
      <c r="F59" s="619" t="e">
        <f t="shared" si="15"/>
        <v>#DIV/0!</v>
      </c>
      <c r="G59" s="1965" t="s">
        <v>2350</v>
      </c>
      <c r="H59" s="941">
        <f>项目基本情况!B37</f>
        <v>0</v>
      </c>
      <c r="I59" s="809">
        <f>SUMIF(修正!A57:A68,H59,修正!G57:G68)</f>
        <v>0</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5" thickBot="1">
      <c r="A60" s="621" t="s">
        <v>2360</v>
      </c>
      <c r="B60" s="216" t="e">
        <f t="shared" si="17"/>
        <v>#DIV/0!</v>
      </c>
      <c r="C60" s="168">
        <f t="shared" si="16"/>
        <v>0</v>
      </c>
      <c r="D60" s="998">
        <v>0.25</v>
      </c>
      <c r="E60" s="215">
        <f>'数据-汇总表'!E15</f>
        <v>0</v>
      </c>
      <c r="F60" s="619" t="e">
        <f t="shared" si="15"/>
        <v>#DIV/0!</v>
      </c>
      <c r="G60" s="1966" t="s">
        <v>2354</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5" thickBot="1">
      <c r="A61" s="623" t="s">
        <v>2361</v>
      </c>
      <c r="B61" s="624" t="s">
        <v>28</v>
      </c>
      <c r="C61" s="624" t="s">
        <v>29</v>
      </c>
      <c r="D61" s="624" t="s">
        <v>816</v>
      </c>
      <c r="E61" s="624">
        <f>IF(B41="楼面地价",SUM(E51:E60),'数据-汇总表'!D3)</f>
        <v>8778.75</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54"/>
      <c r="Q63" s="2654"/>
      <c r="R63" s="2654"/>
      <c r="S63" s="2654"/>
      <c r="T63" s="2654"/>
      <c r="U63" s="2654"/>
      <c r="V63" s="2654"/>
      <c r="W63" s="2654"/>
      <c r="X63" s="2654"/>
      <c r="Y63" s="2654"/>
      <c r="Z63" s="2654"/>
      <c r="AA63" s="2654"/>
      <c r="AB63" s="2654"/>
      <c r="AC63" s="2654"/>
      <c r="AD63" s="2654"/>
      <c r="AE63" s="2654"/>
    </row>
    <row r="64" spans="1:31" ht="21.75" thickBot="1">
      <c r="A64" s="667" t="s">
        <v>2255</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ht="15">
      <c r="A65" s="1760" t="s">
        <v>2362</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2382</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6"/>
      <c r="R66" s="2606"/>
      <c r="S66" s="2606"/>
      <c r="T66" s="2606"/>
      <c r="U66" s="2606"/>
      <c r="V66" s="2606"/>
      <c r="W66" s="2606"/>
      <c r="X66" s="2606"/>
      <c r="Y66" s="2606"/>
      <c r="Z66" s="2606"/>
      <c r="AA66" s="2606"/>
      <c r="AB66" s="2606"/>
      <c r="AC66" s="2606"/>
      <c r="AD66" s="2606"/>
      <c r="AE66" s="2606"/>
    </row>
    <row r="67" spans="1:31" s="107" customFormat="1" ht="15.75" thickBot="1">
      <c r="A67" s="457" t="s">
        <v>2166</v>
      </c>
      <c r="B67" s="458"/>
      <c r="C67" s="459"/>
      <c r="D67" s="460"/>
      <c r="E67" s="460"/>
      <c r="F67" s="460"/>
      <c r="G67" s="460"/>
      <c r="H67" s="460"/>
      <c r="I67" s="460"/>
      <c r="J67" s="460"/>
      <c r="K67" s="460"/>
      <c r="L67" s="460"/>
      <c r="M67" s="461"/>
      <c r="N67" s="461"/>
      <c r="O67" s="462"/>
      <c r="P67" s="2675"/>
      <c r="Q67" s="2675"/>
      <c r="R67" s="2606"/>
      <c r="S67" s="2606"/>
      <c r="T67" s="2606"/>
      <c r="U67" s="2606"/>
      <c r="V67" s="2606"/>
      <c r="W67" s="2606"/>
      <c r="X67" s="2606"/>
      <c r="Y67" s="2606"/>
      <c r="Z67" s="2606"/>
      <c r="AA67" s="2606"/>
      <c r="AB67" s="2606"/>
      <c r="AC67" s="2606"/>
      <c r="AD67" s="2606"/>
      <c r="AE67" s="2606"/>
    </row>
    <row r="68" spans="1:31" s="107" customFormat="1" ht="15">
      <c r="A68" s="463" t="s">
        <v>2131</v>
      </c>
      <c r="B68" s="452"/>
      <c r="C68" s="464" t="s">
        <v>2233</v>
      </c>
      <c r="D68" s="34"/>
      <c r="E68" s="34"/>
      <c r="F68" s="34"/>
      <c r="G68" s="34"/>
      <c r="H68" s="34"/>
      <c r="I68" s="34"/>
      <c r="J68" s="34"/>
      <c r="K68" s="34"/>
      <c r="L68" s="465"/>
      <c r="M68" s="466"/>
      <c r="N68" s="2687"/>
      <c r="O68" s="2687"/>
      <c r="P68" s="2711"/>
      <c r="Q68" s="2675"/>
      <c r="R68" s="2606"/>
      <c r="S68" s="2606"/>
      <c r="T68" s="2606"/>
      <c r="U68" s="2606"/>
      <c r="V68" s="2606"/>
      <c r="W68" s="2606"/>
      <c r="X68" s="2606"/>
      <c r="Y68" s="2606"/>
      <c r="Z68" s="2606"/>
      <c r="AA68" s="2606"/>
      <c r="AB68" s="2606"/>
      <c r="AC68" s="2606"/>
      <c r="AD68" s="2606"/>
      <c r="AE68" s="2606"/>
    </row>
    <row r="69" spans="1:31" s="107" customFormat="1" ht="15.75" thickBot="1">
      <c r="A69" s="463"/>
      <c r="B69" s="452"/>
      <c r="C69" s="571">
        <v>100</v>
      </c>
      <c r="D69" s="454"/>
      <c r="E69" s="454"/>
      <c r="F69" s="454"/>
      <c r="G69" s="454"/>
      <c r="H69" s="454"/>
      <c r="I69" s="454"/>
      <c r="J69" s="454"/>
      <c r="K69" s="454"/>
      <c r="L69" s="454"/>
      <c r="M69" s="456"/>
      <c r="N69" s="2687"/>
      <c r="O69" s="2687"/>
      <c r="P69" s="2675"/>
      <c r="Q69" s="2675"/>
      <c r="R69" s="2606"/>
      <c r="S69" s="2606"/>
      <c r="T69" s="2606"/>
      <c r="U69" s="2606"/>
      <c r="V69" s="2606"/>
      <c r="W69" s="2606"/>
      <c r="X69" s="2606"/>
      <c r="Y69" s="2606"/>
      <c r="Z69" s="2606"/>
      <c r="AA69" s="2606"/>
      <c r="AB69" s="2606"/>
      <c r="AC69" s="2606"/>
      <c r="AD69" s="2606"/>
      <c r="AE69" s="2606"/>
    </row>
    <row r="70" spans="1:31">
      <c r="A70" s="387" t="s">
        <v>2169</v>
      </c>
      <c r="B70" s="468" t="s">
        <v>2135</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5.7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7.75" thickTop="1">
      <c r="A72" s="375"/>
      <c r="B72" s="477" t="s">
        <v>2138</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5.7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5.75" thickTop="1">
      <c r="A74" s="375"/>
      <c r="B74" s="485" t="s">
        <v>2139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ht="15">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5.7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5.7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5.7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5.7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5.7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5.7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2140</v>
      </c>
      <c r="B83" s="468" t="s">
        <v>2286</v>
      </c>
      <c r="C83" s="512" t="s">
        <v>2178</v>
      </c>
      <c r="D83" s="512" t="s">
        <v>2179</v>
      </c>
      <c r="E83" s="512" t="s">
        <v>2180</v>
      </c>
      <c r="F83" s="512" t="s">
        <v>2181</v>
      </c>
      <c r="G83" s="512" t="s">
        <v>2182</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5.75" thickTop="1">
      <c r="A85" s="375"/>
      <c r="B85" s="477" t="s">
        <v>2183</v>
      </c>
      <c r="C85" s="517" t="s">
        <v>2178</v>
      </c>
      <c r="D85" s="517" t="s">
        <v>2179</v>
      </c>
      <c r="E85" s="517" t="s">
        <v>2180</v>
      </c>
      <c r="F85" s="517" t="s">
        <v>2181</v>
      </c>
      <c r="G85" s="517" t="s">
        <v>2182</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15.75" thickTop="1">
      <c r="A87" s="378"/>
      <c r="B87" s="477" t="s">
        <v>2365</v>
      </c>
      <c r="C87" s="512" t="s">
        <v>2178</v>
      </c>
      <c r="D87" s="512" t="s">
        <v>2179</v>
      </c>
      <c r="E87" s="512" t="s">
        <v>2180</v>
      </c>
      <c r="F87" s="512" t="s">
        <v>2181</v>
      </c>
      <c r="G87" s="512" t="s">
        <v>2182</v>
      </c>
      <c r="H87" s="517"/>
      <c r="I87" s="517"/>
      <c r="J87" s="517"/>
      <c r="K87" s="517"/>
      <c r="L87" s="626"/>
      <c r="M87" s="555"/>
      <c r="N87" s="2687"/>
      <c r="O87" s="2687"/>
      <c r="P87" s="2687"/>
      <c r="Q87" s="2675"/>
      <c r="R87" s="2606"/>
      <c r="S87" s="2606"/>
      <c r="T87" s="2606"/>
      <c r="U87" s="2606"/>
      <c r="V87" s="2606"/>
      <c r="W87" s="2606"/>
      <c r="X87" s="2606"/>
      <c r="Y87" s="2606"/>
      <c r="Z87" s="2606"/>
      <c r="AA87" s="2606"/>
      <c r="AB87" s="2606"/>
      <c r="AC87" s="2606"/>
      <c r="AD87" s="2606"/>
      <c r="AE87" s="2606"/>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6"/>
      <c r="S88" s="2606"/>
      <c r="T88" s="2606"/>
      <c r="U88" s="2606"/>
      <c r="V88" s="2606"/>
      <c r="W88" s="2606"/>
      <c r="X88" s="2606"/>
      <c r="Y88" s="2606"/>
      <c r="Z88" s="2606"/>
      <c r="AA88" s="2606"/>
      <c r="AB88" s="2606"/>
      <c r="AC88" s="2606"/>
      <c r="AD88" s="2606"/>
      <c r="AE88" s="2606"/>
    </row>
    <row r="89" spans="1:31" s="107" customFormat="1" ht="27.75" thickTop="1">
      <c r="A89" s="378"/>
      <c r="B89" s="477" t="s">
        <v>2366</v>
      </c>
      <c r="C89" s="512" t="s">
        <v>2178</v>
      </c>
      <c r="D89" s="512" t="s">
        <v>2179</v>
      </c>
      <c r="E89" s="512" t="s">
        <v>2180</v>
      </c>
      <c r="F89" s="512" t="s">
        <v>2181</v>
      </c>
      <c r="G89" s="512" t="s">
        <v>2182</v>
      </c>
      <c r="H89" s="517"/>
      <c r="I89" s="517"/>
      <c r="J89" s="517"/>
      <c r="K89" s="517"/>
      <c r="L89" s="517"/>
      <c r="M89" s="555"/>
      <c r="N89" s="2687"/>
      <c r="O89" s="2687"/>
      <c r="P89" s="2687"/>
      <c r="Q89" s="2675"/>
      <c r="R89" s="2606"/>
      <c r="S89" s="2606"/>
      <c r="T89" s="2606"/>
      <c r="U89" s="2606"/>
      <c r="V89" s="2606"/>
      <c r="W89" s="2606"/>
      <c r="X89" s="2606"/>
      <c r="Y89" s="2606"/>
      <c r="Z89" s="2606"/>
      <c r="AA89" s="2606"/>
      <c r="AB89" s="2606"/>
      <c r="AC89" s="2606"/>
      <c r="AD89" s="2606"/>
      <c r="AE89" s="2606"/>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6"/>
      <c r="S90" s="2606"/>
      <c r="T90" s="2606"/>
      <c r="U90" s="2606"/>
      <c r="V90" s="2606"/>
      <c r="W90" s="2606"/>
      <c r="X90" s="2606"/>
      <c r="Y90" s="2606"/>
      <c r="Z90" s="2606"/>
      <c r="AA90" s="2606"/>
      <c r="AB90" s="2606"/>
      <c r="AC90" s="2606"/>
      <c r="AD90" s="2606"/>
      <c r="AE90" s="2606"/>
    </row>
    <row r="91" spans="1:31" s="416" customFormat="1" ht="15.75" thickTop="1">
      <c r="A91" s="492"/>
      <c r="B91" s="477" t="s">
        <v>2235</v>
      </c>
      <c r="C91" s="512" t="s">
        <v>2178</v>
      </c>
      <c r="D91" s="512" t="s">
        <v>2179</v>
      </c>
      <c r="E91" s="512" t="s">
        <v>2180</v>
      </c>
      <c r="F91" s="512" t="s">
        <v>2181</v>
      </c>
      <c r="G91" s="512" t="s">
        <v>2182</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5.75" thickTop="1">
      <c r="A93" s="492"/>
      <c r="B93" s="485" t="s">
        <v>2383</v>
      </c>
      <c r="C93" s="589" t="s">
        <v>2256</v>
      </c>
      <c r="D93" s="589" t="s">
        <v>2257</v>
      </c>
      <c r="E93" s="589" t="s">
        <v>2258</v>
      </c>
      <c r="F93" s="589" t="s">
        <v>2259</v>
      </c>
      <c r="G93" s="589" t="s">
        <v>2260</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5.75" thickTop="1">
      <c r="A95" s="375"/>
      <c r="B95" s="477" t="str">
        <f>B27</f>
        <v>临街状况</v>
      </c>
      <c r="C95" s="478" t="s">
        <v>2367</v>
      </c>
      <c r="D95" s="478" t="s">
        <v>2368</v>
      </c>
      <c r="E95" s="478" t="s">
        <v>2369</v>
      </c>
      <c r="F95" s="478" t="s">
        <v>2370</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9"/>
      <c r="O96" s="2689"/>
      <c r="P96" s="2687"/>
      <c r="Q96" s="2675"/>
      <c r="R96" s="2654"/>
      <c r="S96" s="2654"/>
      <c r="T96" s="2654"/>
      <c r="U96" s="2654"/>
      <c r="V96" s="2654"/>
      <c r="W96" s="2654"/>
      <c r="X96" s="2654"/>
      <c r="Y96" s="2654"/>
      <c r="Z96" s="2654"/>
      <c r="AA96" s="2654"/>
      <c r="AB96" s="2654"/>
      <c r="AC96" s="2654"/>
      <c r="AD96" s="2654"/>
      <c r="AE96" s="2654"/>
    </row>
    <row r="97" spans="1:31" ht="27.75" thickTop="1">
      <c r="A97" s="375"/>
      <c r="B97" s="477" t="s">
        <v>2272</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9"/>
      <c r="O98" s="2689"/>
      <c r="P98" s="2687"/>
      <c r="Q98" s="2675"/>
      <c r="R98" s="2654"/>
      <c r="S98" s="2654"/>
      <c r="T98" s="2654"/>
      <c r="U98" s="2654"/>
      <c r="V98" s="2654"/>
      <c r="W98" s="2654"/>
      <c r="X98" s="2654"/>
      <c r="Y98" s="2654"/>
      <c r="Z98" s="2654"/>
      <c r="AA98" s="2654"/>
      <c r="AB98" s="2654"/>
      <c r="AC98" s="2654"/>
      <c r="AD98" s="2654"/>
      <c r="AE98" s="2654"/>
    </row>
    <row r="99" spans="1:31" ht="15.75" thickTop="1">
      <c r="A99" s="375"/>
      <c r="B99" s="477" t="s">
        <v>2331</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5.7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5.7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5.7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5.7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2144</v>
      </c>
      <c r="B107" s="468" t="s">
        <v>2371</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ht="15">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5.7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5" thickTop="1">
      <c r="A110" s="417"/>
      <c r="B110" s="477" t="s">
        <v>2372</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5" thickTop="1">
      <c r="A112" s="414"/>
      <c r="B112" s="477" t="s">
        <v>2374</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5" thickTop="1">
      <c r="A114" s="417"/>
      <c r="B114" s="477" t="s">
        <v>2375</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5.7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5.7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5.7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034" customWidth="1"/>
    <col min="2" max="2" width="19.125" style="2132" customWidth="1"/>
    <col min="3" max="4" width="12" style="1975"/>
    <col min="5" max="5" width="14.625" style="1975" customWidth="1"/>
    <col min="6" max="8" width="12" style="1975"/>
    <col min="9" max="9" width="12.125" style="1975" bestFit="1" customWidth="1"/>
    <col min="10" max="10" width="12" style="1975"/>
    <col min="11" max="11" width="8.125" style="2029" customWidth="1"/>
    <col min="12" max="12" width="12" style="1975"/>
    <col min="13" max="13" width="8.5" style="1975" customWidth="1"/>
    <col min="14" max="14" width="9.8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2384</v>
      </c>
      <c r="B1" s="195"/>
      <c r="C1" s="199" t="s">
        <v>2385</v>
      </c>
      <c r="D1" s="339">
        <f>SUM(D29:D30,D33:D39)</f>
        <v>0</v>
      </c>
      <c r="E1" s="1972"/>
      <c r="F1" s="1972"/>
      <c r="G1" s="1972"/>
      <c r="H1" s="1972"/>
      <c r="I1" s="1972"/>
      <c r="J1" s="1972"/>
      <c r="K1" s="1165"/>
      <c r="L1" s="1973" t="s">
        <v>2386</v>
      </c>
      <c r="M1" s="917">
        <f>SUMPRODUCT((区片价!B5:B9=I2)*(区片价!C3:F3=E2)*(区片价!C5:F9))</f>
        <v>0</v>
      </c>
      <c r="N1" s="920">
        <f>SUMPRODUCT((因素修正幅度!B5:B9=I2)*(因素修正幅度!C3:F3=E2)*(因素修正幅度!C5:F9))</f>
        <v>0</v>
      </c>
      <c r="O1" s="1974"/>
      <c r="P1" s="1974"/>
      <c r="Q1" s="1165"/>
      <c r="R1" s="1239" t="s">
        <v>2387</v>
      </c>
      <c r="S1" s="1239" t="s">
        <v>2388</v>
      </c>
      <c r="T1" s="1239" t="s">
        <v>2389</v>
      </c>
      <c r="U1" s="1239" t="s">
        <v>2390</v>
      </c>
      <c r="V1" s="1239" t="s">
        <v>2391</v>
      </c>
      <c r="W1" s="1243"/>
      <c r="X1" s="1243"/>
      <c r="Y1" s="1243"/>
      <c r="Z1" s="1243"/>
      <c r="AA1" s="1243"/>
      <c r="AB1" s="1243"/>
      <c r="AC1" s="1244"/>
      <c r="AD1" s="1245"/>
      <c r="AE1" s="1245"/>
      <c r="AF1" s="1245"/>
      <c r="AG1" s="1245"/>
      <c r="AH1" s="1245"/>
      <c r="AI1" s="1245"/>
      <c r="AJ1" s="1246"/>
    </row>
    <row r="2" spans="1:36" ht="15.75">
      <c r="A2" s="199" t="s">
        <v>2392</v>
      </c>
      <c r="B2" s="202" t="e">
        <f>C26</f>
        <v>#DIV/0!</v>
      </c>
      <c r="C2" s="1976" t="s">
        <v>2393</v>
      </c>
      <c r="D2" s="167" t="s">
        <v>2394</v>
      </c>
      <c r="E2" s="1977"/>
      <c r="F2" s="167" t="s">
        <v>2395</v>
      </c>
      <c r="G2" s="168">
        <f>IF(E2="商业",项目基本情况!B37,IF(E2="办公",项目基本情况!C37,IF(E2="住宅",项目基本情况!D37,项目基本情况!E37)))</f>
        <v>0</v>
      </c>
      <c r="H2" s="167" t="s">
        <v>2396</v>
      </c>
      <c r="I2" s="168">
        <f>IF(E2="商业",项目基本情况!B38,IF(E2="办公",项目基本情况!C38,IF(E2="住宅",项目基本情况!D38,项目基本情况!E38)))</f>
        <v>0</v>
      </c>
      <c r="J2" s="1972"/>
      <c r="K2" s="1165"/>
      <c r="L2" s="1978" t="s">
        <v>2397</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2398</v>
      </c>
      <c r="B3" s="202" t="e">
        <f>ROUND(B2*10000/D1,0)</f>
        <v>#DIV/0!</v>
      </c>
      <c r="C3" s="1976" t="s">
        <v>2399</v>
      </c>
      <c r="D3" s="167" t="s">
        <v>2400</v>
      </c>
      <c r="E3" s="1979"/>
      <c r="F3" s="1980" t="s">
        <v>2401</v>
      </c>
      <c r="G3" s="789">
        <f>IF(F3="宗地容积率",'数据-汇总表'!I4,IF(F3="估价对象容积率",'数据-汇总表'!I6,'数据-汇总表'!I7))</f>
        <v>1.29</v>
      </c>
      <c r="H3" s="167" t="s">
        <v>2402</v>
      </c>
      <c r="I3" s="811"/>
      <c r="J3" s="1972" t="s">
        <v>2403</v>
      </c>
      <c r="K3" s="1165"/>
      <c r="L3" s="1978" t="s">
        <v>2404</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303"/>
      <c r="B4" s="3304"/>
      <c r="C4" s="3304"/>
      <c r="D4" s="3305"/>
      <c r="E4" s="3305"/>
      <c r="F4" s="3305"/>
      <c r="G4" s="3305"/>
      <c r="H4" s="3305"/>
      <c r="I4" s="3305"/>
      <c r="J4" s="3306"/>
      <c r="K4" s="1165"/>
      <c r="L4" s="1978" t="s">
        <v>2405</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2406</v>
      </c>
      <c r="C5" s="790" t="e">
        <f>ROUND(IF(E2="商业",C6*C7+C16,(IF(E2="住宅",C6*C12+C16,C6+C16))),0)</f>
        <v>#DIV/0!</v>
      </c>
      <c r="D5" s="1381" t="e">
        <f>ROUND(C6+C16,0)</f>
        <v>#DIV/0!</v>
      </c>
      <c r="E5" s="1381"/>
      <c r="F5" s="1983"/>
      <c r="G5" s="1984"/>
      <c r="H5" s="1984"/>
      <c r="I5" s="1984"/>
      <c r="J5" s="1985"/>
      <c r="K5" s="1986"/>
      <c r="L5" s="1978" t="s">
        <v>2407</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2408</v>
      </c>
      <c r="B6" s="1992" t="s">
        <v>2409</v>
      </c>
      <c r="C6" s="791">
        <f>SUMIF(L1:L12,G2,M1:M12)</f>
        <v>0</v>
      </c>
      <c r="D6" s="1993" t="s">
        <v>2410</v>
      </c>
      <c r="E6" s="1994"/>
      <c r="F6" s="1994"/>
      <c r="G6" s="1995"/>
      <c r="H6" s="1995"/>
      <c r="I6" s="1995"/>
      <c r="J6" s="1996"/>
      <c r="K6" s="1421"/>
      <c r="L6" s="1978" t="s">
        <v>2411</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284" t="str">
        <f>IF(E2="商业",IF(C8="不临58条商业街","",2),"")</f>
        <v/>
      </c>
      <c r="B7" s="1997" t="s">
        <v>2412</v>
      </c>
      <c r="C7" s="792" t="e">
        <f>IF(C8="不临58条商业街",1,ROUND(1+(1.6*E8+1.2*E9+0.8*E10+0.4*E11)*C9,4))</f>
        <v>#DIV/0!</v>
      </c>
      <c r="D7" s="1998" t="s">
        <v>2413</v>
      </c>
      <c r="E7" s="812"/>
      <c r="F7" s="1999"/>
      <c r="G7" s="2000"/>
      <c r="H7" s="2000"/>
      <c r="I7" s="2000"/>
      <c r="J7" s="2001"/>
      <c r="K7" s="1421"/>
      <c r="L7" s="1978" t="s">
        <v>2414</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2415</v>
      </c>
      <c r="X7" s="1241">
        <f>G2</f>
        <v>0</v>
      </c>
      <c r="Y7" s="1241" t="s">
        <v>2416</v>
      </c>
      <c r="Z7" s="1242">
        <f>G3</f>
        <v>1.29</v>
      </c>
      <c r="AA7" s="1243"/>
      <c r="AB7" s="1243"/>
      <c r="AC7" s="1244"/>
      <c r="AD7" s="1245"/>
      <c r="AE7" s="1245"/>
      <c r="AF7" s="1245"/>
      <c r="AG7" s="1245"/>
      <c r="AH7" s="1245"/>
      <c r="AI7" s="1245"/>
      <c r="AJ7" s="1246"/>
    </row>
    <row r="8" spans="1:36" ht="15">
      <c r="A8" s="3307"/>
      <c r="B8" s="167" t="s">
        <v>2417</v>
      </c>
      <c r="C8" s="1977"/>
      <c r="D8" s="793" t="s">
        <v>139</v>
      </c>
      <c r="E8" s="794" t="e">
        <f>ROUND(C11/E7,4)</f>
        <v>#DIV/0!</v>
      </c>
      <c r="F8" s="2002" t="s">
        <v>2418</v>
      </c>
      <c r="G8" s="2003"/>
      <c r="H8" s="2003"/>
      <c r="I8" s="2003"/>
      <c r="J8" s="2004"/>
      <c r="K8" s="1165"/>
      <c r="L8" s="1978" t="s">
        <v>2419</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00" t="s">
        <v>2420</v>
      </c>
      <c r="X8" s="3301"/>
      <c r="Y8" s="1247" t="s">
        <v>2421</v>
      </c>
      <c r="Z8" s="1247" t="s">
        <v>2422</v>
      </c>
      <c r="AA8" s="1247" t="s">
        <v>2423</v>
      </c>
      <c r="AB8" s="1247" t="s">
        <v>2424</v>
      </c>
      <c r="AC8" s="1247" t="s">
        <v>2425</v>
      </c>
      <c r="AD8" s="1247" t="s">
        <v>2426</v>
      </c>
      <c r="AE8" s="1247" t="s">
        <v>2427</v>
      </c>
      <c r="AF8" s="1247" t="s">
        <v>2428</v>
      </c>
      <c r="AG8" s="1247" t="s">
        <v>2429</v>
      </c>
      <c r="AH8" s="1247" t="s">
        <v>2430</v>
      </c>
      <c r="AI8" s="1247" t="s">
        <v>2431</v>
      </c>
      <c r="AJ8" s="1247" t="s">
        <v>2432</v>
      </c>
    </row>
    <row r="9" spans="1:36" ht="15">
      <c r="A9" s="3307"/>
      <c r="B9" s="167" t="s">
        <v>2433</v>
      </c>
      <c r="C9" s="795">
        <f>SUMIF(修正!C71:C138,C8,修正!E71:E138)</f>
        <v>0</v>
      </c>
      <c r="D9" s="168" t="s">
        <v>140</v>
      </c>
      <c r="E9" s="168" t="e">
        <f>ROUND(C11/E7,4)</f>
        <v>#DIV/0!</v>
      </c>
      <c r="F9" s="2002" t="s">
        <v>2434</v>
      </c>
      <c r="G9" s="2003"/>
      <c r="H9" s="2003"/>
      <c r="I9" s="2003"/>
      <c r="J9" s="2004"/>
      <c r="K9" s="1165"/>
      <c r="L9" s="1978" t="s">
        <v>2435</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02" t="s">
        <v>2436</v>
      </c>
      <c r="X9" s="1248" t="s">
        <v>2437</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307"/>
      <c r="B10" s="167" t="s">
        <v>2438</v>
      </c>
      <c r="C10" s="168">
        <f>SUMIF(修正!C71:C138,C8,修正!F71:F138)</f>
        <v>0</v>
      </c>
      <c r="D10" s="168" t="s">
        <v>141</v>
      </c>
      <c r="E10" s="168" t="e">
        <f>ROUND(C11/E7,4)</f>
        <v>#DIV/0!</v>
      </c>
      <c r="F10" s="2002" t="s">
        <v>2439</v>
      </c>
      <c r="G10" s="2003"/>
      <c r="H10" s="2003"/>
      <c r="I10" s="2003"/>
      <c r="J10" s="2004"/>
      <c r="K10" s="1165"/>
      <c r="L10" s="1978" t="s">
        <v>2440</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02"/>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307"/>
      <c r="B11" s="2005" t="s">
        <v>2441</v>
      </c>
      <c r="C11" s="796">
        <f>C10/4</f>
        <v>0</v>
      </c>
      <c r="D11" s="796" t="s">
        <v>142</v>
      </c>
      <c r="E11" s="796" t="e">
        <f>ROUND(C11/E7,4)</f>
        <v>#DIV/0!</v>
      </c>
      <c r="F11" s="2006" t="s">
        <v>2442</v>
      </c>
      <c r="G11" s="2007"/>
      <c r="H11" s="2007"/>
      <c r="I11" s="2007"/>
      <c r="J11" s="2008"/>
      <c r="K11" s="1165"/>
      <c r="L11" s="1978" t="s">
        <v>2443</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02" t="s">
        <v>2444</v>
      </c>
      <c r="X11" s="1251" t="s">
        <v>2445</v>
      </c>
      <c r="Y11" s="1251">
        <f>$G$3</f>
        <v>1.29</v>
      </c>
      <c r="Z11" s="1251">
        <f t="shared" ref="Z11:AJ11" si="3">$G$3</f>
        <v>1.29</v>
      </c>
      <c r="AA11" s="1251">
        <f t="shared" si="3"/>
        <v>1.29</v>
      </c>
      <c r="AB11" s="1251">
        <f t="shared" si="3"/>
        <v>1.29</v>
      </c>
      <c r="AC11" s="1251">
        <f t="shared" si="3"/>
        <v>1.29</v>
      </c>
      <c r="AD11" s="1251">
        <f t="shared" si="3"/>
        <v>1.29</v>
      </c>
      <c r="AE11" s="1251">
        <f t="shared" si="3"/>
        <v>1.29</v>
      </c>
      <c r="AF11" s="1251">
        <f t="shared" si="3"/>
        <v>1.29</v>
      </c>
      <c r="AG11" s="1251">
        <f t="shared" si="3"/>
        <v>1.29</v>
      </c>
      <c r="AH11" s="1251">
        <f t="shared" si="3"/>
        <v>1.29</v>
      </c>
      <c r="AI11" s="1251">
        <f t="shared" si="3"/>
        <v>1.29</v>
      </c>
      <c r="AJ11" s="1251">
        <f t="shared" si="3"/>
        <v>1.29</v>
      </c>
    </row>
    <row r="12" spans="1:36" ht="25.5" thickBot="1">
      <c r="A12" s="3284" t="s">
        <v>2446</v>
      </c>
      <c r="B12" s="2009" t="s">
        <v>2447</v>
      </c>
      <c r="C12" s="792">
        <f>ROUND(C15*D15*E15*F15*G15*H15*I15*J15,4)</f>
        <v>1</v>
      </c>
      <c r="D12" s="2010" t="s">
        <v>2448</v>
      </c>
      <c r="E12" s="2011"/>
      <c r="F12" s="2011"/>
      <c r="G12" s="2012"/>
      <c r="H12" s="2012"/>
      <c r="I12" s="2012"/>
      <c r="J12" s="2013"/>
      <c r="K12" s="1165"/>
      <c r="L12" s="1926" t="s">
        <v>2449</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02"/>
      <c r="X12" s="1252" t="s">
        <v>2450</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308"/>
      <c r="B13" s="2014" t="s">
        <v>2451</v>
      </c>
      <c r="C13" s="2015" t="s">
        <v>2452</v>
      </c>
      <c r="D13" s="1390" t="s">
        <v>2453</v>
      </c>
      <c r="E13" s="1390" t="s">
        <v>2454</v>
      </c>
      <c r="F13" s="30" t="s">
        <v>2455</v>
      </c>
      <c r="G13" s="2016" t="s">
        <v>2456</v>
      </c>
      <c r="H13" s="2016" t="s">
        <v>2456</v>
      </c>
      <c r="I13" s="2016" t="s">
        <v>2456</v>
      </c>
      <c r="J13" s="2017" t="s">
        <v>2456</v>
      </c>
      <c r="K13" s="1165"/>
      <c r="L13" s="1165"/>
      <c r="M13" s="1165"/>
      <c r="N13" s="1165"/>
      <c r="O13" s="1165"/>
      <c r="P13" s="1165"/>
      <c r="Q13" s="1165"/>
      <c r="R13" s="1239">
        <v>12</v>
      </c>
      <c r="S13" s="1240"/>
      <c r="T13" s="1239" t="e">
        <f t="shared" si="0"/>
        <v>#DIV/0!</v>
      </c>
      <c r="U13" s="1240"/>
      <c r="V13" s="1239" t="e">
        <f t="shared" si="1"/>
        <v>#DIV/0!</v>
      </c>
      <c r="W13" s="3302"/>
      <c r="X13" s="1252"/>
      <c r="Y13" s="1250">
        <f>(-0.163*(Y12^2)-0.59*Y12+7617)*(10^(-4))/Y11</f>
        <v>0.59046511627906983</v>
      </c>
      <c r="Z13" s="1250">
        <f t="shared" ref="Z13:AJ13" si="5">(-0.163*(Z12^2)-0.59*Z12+7617)*(10^(-4))/Z11</f>
        <v>0.59046511627906983</v>
      </c>
      <c r="AA13" s="1250">
        <f t="shared" si="5"/>
        <v>0.59046511627906983</v>
      </c>
      <c r="AB13" s="1250">
        <f t="shared" si="5"/>
        <v>0.59046511627906983</v>
      </c>
      <c r="AC13" s="1250">
        <f t="shared" si="5"/>
        <v>0.59046511627906983</v>
      </c>
      <c r="AD13" s="1250">
        <f t="shared" si="5"/>
        <v>0.59046511627906983</v>
      </c>
      <c r="AE13" s="1250">
        <f t="shared" si="5"/>
        <v>0.59046511627906983</v>
      </c>
      <c r="AF13" s="1250">
        <f t="shared" si="5"/>
        <v>0.59046511627906983</v>
      </c>
      <c r="AG13" s="1250">
        <f t="shared" si="5"/>
        <v>0.59046511627906983</v>
      </c>
      <c r="AH13" s="1250">
        <f t="shared" si="5"/>
        <v>0.59046511627906983</v>
      </c>
      <c r="AI13" s="1250">
        <f t="shared" si="5"/>
        <v>0.59046511627906983</v>
      </c>
      <c r="AJ13" s="1250">
        <f t="shared" si="5"/>
        <v>0.59046511627906983</v>
      </c>
    </row>
    <row r="14" spans="1:36" ht="15">
      <c r="A14" s="3308"/>
      <c r="B14" s="2018"/>
      <c r="C14" s="2019"/>
      <c r="D14" s="2020"/>
      <c r="E14" s="2020"/>
      <c r="F14" s="2021"/>
      <c r="G14" s="2022" t="s">
        <v>2457</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5.75" thickBot="1">
      <c r="A15" s="3309"/>
      <c r="B15" s="2025" t="s">
        <v>2458</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 customHeight="1">
      <c r="A16" s="3284" t="s">
        <v>2463</v>
      </c>
      <c r="B16" s="1997" t="s">
        <v>2464</v>
      </c>
      <c r="C16" s="2148" t="e">
        <f>ROUND(IF(F17="与级别开发程度一致",0,(G17-E17)/C17),0)</f>
        <v>#DIV/0!</v>
      </c>
      <c r="D16" s="3297" t="s">
        <v>2468</v>
      </c>
      <c r="E16" s="3298"/>
      <c r="F16" s="3297" t="s">
        <v>2465</v>
      </c>
      <c r="G16" s="3298"/>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285"/>
      <c r="B17" s="2159" t="s">
        <v>2467</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2470</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7.75" thickBot="1">
      <c r="A19" s="2030" t="s">
        <v>628</v>
      </c>
      <c r="B19" s="2031" t="s">
        <v>2471</v>
      </c>
      <c r="C19" s="797" t="e">
        <f>ROUND(IF(H19="按公示增长率计算",SUMPRODUCT((地价!A3:A37=YEAR(G19)&amp;"-"&amp;ROUNDUP(MONTH(G19)/3,0))*(地价!X2:AB2=E2)*(地价!X3:AB37)),IF(H19="地价指数",M20/M19,(1+I19)^O19)),4)</f>
        <v>#VALUE!</v>
      </c>
      <c r="D19" s="2035" t="s">
        <v>2472</v>
      </c>
      <c r="E19" s="798">
        <v>41640</v>
      </c>
      <c r="F19" s="2035" t="s">
        <v>2473</v>
      </c>
      <c r="G19" s="799">
        <f>'数据-取费表'!B2</f>
        <v>44848</v>
      </c>
      <c r="H19" s="2036"/>
      <c r="I19" s="800" t="str">
        <f>IF(H19="季度增幅（自定义）",SUMIF(N21:N24,E2,O21:O24),"")</f>
        <v/>
      </c>
      <c r="J19" s="2033"/>
      <c r="K19" s="1171"/>
      <c r="L19" s="2037" t="s">
        <v>2474</v>
      </c>
      <c r="M19" s="1356">
        <f>ROUND(SUMIF(地价!B2:F2,E2,地价!B37:F37),0)</f>
        <v>0</v>
      </c>
      <c r="N19" s="2038" t="s">
        <v>2475</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7.75" thickBot="1">
      <c r="A20" s="2040" t="s">
        <v>629</v>
      </c>
      <c r="B20" s="2041" t="s">
        <v>2476</v>
      </c>
      <c r="C20" s="802" t="e">
        <f>ROUND(POWER(1+G20,J20-I20)*(POWER(1+G20,I20)-1)/(POWER(1+G20,J20)-1),4)</f>
        <v>#DIV/0!</v>
      </c>
      <c r="D20" s="778" t="s">
        <v>2477</v>
      </c>
      <c r="E20" s="1363">
        <f>存贷款利率!E22/100</f>
        <v>4.3499999999999997E-2</v>
      </c>
      <c r="F20" s="778" t="s">
        <v>2469</v>
      </c>
      <c r="G20" s="806">
        <f>SUMIF(M26:P26,E2,M28:P28)</f>
        <v>0</v>
      </c>
      <c r="H20" s="778" t="s">
        <v>2478</v>
      </c>
      <c r="I20" s="807" t="e">
        <f>SUMIF('数据-取费表'!C6:C15,E2,'数据-取费表'!F6:F15)/COUNTIF('数据-取费表'!C6:C15,E2)</f>
        <v>#DIV/0!</v>
      </c>
      <c r="J20" s="808">
        <f>IF(E2="住宅",70,IF(E2="商业",40,50))</f>
        <v>50</v>
      </c>
      <c r="K20" s="1171"/>
      <c r="L20" s="2042" t="s">
        <v>2479</v>
      </c>
      <c r="M20" s="1357">
        <f>ROUND(SUMPRODUCT((地价!A4:A37=YEAR(G19)&amp;"-"&amp;ROUNDUP(MONTH(G19)/3,0))*(地价!B2:F2=E2)*(地价!B4:F37)),0)</f>
        <v>0</v>
      </c>
      <c r="N20" s="2043" t="s">
        <v>2480</v>
      </c>
      <c r="O20" s="2044" t="s">
        <v>2481</v>
      </c>
      <c r="P20" s="2045" t="s">
        <v>2482</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5">
      <c r="A21" s="2046" t="s">
        <v>630</v>
      </c>
      <c r="B21" s="2047" t="s">
        <v>2483</v>
      </c>
      <c r="C21" s="469">
        <f>IF(B21="容积率修正",IF(G3&lt;=10,D22,J22),C23)</f>
        <v>0</v>
      </c>
      <c r="D21" s="2048"/>
      <c r="E21" s="2048"/>
      <c r="F21" s="2048"/>
      <c r="G21" s="2048"/>
      <c r="H21" s="2048"/>
      <c r="I21" s="2048"/>
      <c r="J21" s="2049"/>
      <c r="K21" s="1171"/>
      <c r="L21" s="2721"/>
      <c r="M21" s="2721"/>
      <c r="N21" s="2050" t="s">
        <v>2484</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25">
      <c r="A22" s="1936" t="s">
        <v>2485</v>
      </c>
      <c r="B22" s="2051" t="s">
        <v>2486</v>
      </c>
      <c r="C22" s="1392" t="s">
        <v>2487</v>
      </c>
      <c r="D22" s="1392">
        <f>IF(E22=G22,F22,IF(G3&lt;=10,ROUND(F22+(H22-F22)*(G3-E22)/(G22-E22),4),"——"))</f>
        <v>0</v>
      </c>
      <c r="E22" s="789">
        <f>ROUNDDOWN(G3,1)</f>
        <v>1.2</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1.3</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21"/>
      <c r="M22" s="2721"/>
      <c r="N22" s="2050" t="s">
        <v>2488</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7.75" thickBot="1">
      <c r="A23" s="1936" t="s">
        <v>2489</v>
      </c>
      <c r="B23" s="2052" t="s">
        <v>2490</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2491</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2492</v>
      </c>
      <c r="C24" s="797">
        <f>SUMIF(A45:A88,E2,B45:B88)</f>
        <v>0</v>
      </c>
      <c r="D24" s="2032"/>
      <c r="E24" s="2058"/>
      <c r="F24" s="2058"/>
      <c r="G24" s="2058"/>
      <c r="H24" s="2058"/>
      <c r="I24" s="2058"/>
      <c r="J24" s="2059"/>
      <c r="K24" s="1171"/>
      <c r="L24" s="2721"/>
      <c r="M24" s="2721"/>
      <c r="N24" s="2060" t="s">
        <v>2493</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5.75" thickBot="1">
      <c r="A25" s="2040" t="s">
        <v>632</v>
      </c>
      <c r="B25" s="2061" t="s">
        <v>2494</v>
      </c>
      <c r="C25" s="803"/>
      <c r="D25" s="2000"/>
      <c r="E25" s="2000"/>
      <c r="F25" s="2062"/>
      <c r="G25" s="2000"/>
      <c r="H25" s="2000"/>
      <c r="I25" s="2000"/>
      <c r="J25" s="2001"/>
      <c r="K25" s="1165"/>
      <c r="L25" s="1974"/>
      <c r="M25" s="1974"/>
      <c r="N25" s="2716" t="s">
        <v>2495</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2496</v>
      </c>
      <c r="C26" s="2305" t="e">
        <f>IF(B21="容积率修正",E29+SUM(E33:E39),SUM(V2:V16)+SUM(E33:E39))</f>
        <v>#DIV/0!</v>
      </c>
      <c r="D26" s="2064"/>
      <c r="E26" s="1972"/>
      <c r="F26" s="2065"/>
      <c r="G26" s="1972"/>
      <c r="H26" s="1972"/>
      <c r="I26" s="1972"/>
      <c r="J26" s="2066"/>
      <c r="K26" s="1165"/>
      <c r="L26" s="2719" t="s">
        <v>2394</v>
      </c>
      <c r="M26" s="1998" t="s">
        <v>2459</v>
      </c>
      <c r="N26" s="1998" t="s">
        <v>2460</v>
      </c>
      <c r="O26" s="1998" t="s">
        <v>2461</v>
      </c>
      <c r="P26" s="2720" t="s">
        <v>2462</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2497</v>
      </c>
      <c r="C27" s="804" t="e">
        <f>E30+SUM(I33:I39)</f>
        <v>#DIV/0!</v>
      </c>
      <c r="D27" s="2068"/>
      <c r="E27" s="2069"/>
      <c r="F27" s="2070"/>
      <c r="G27" s="2069"/>
      <c r="H27" s="2069"/>
      <c r="I27" s="2069"/>
      <c r="J27" s="2071"/>
      <c r="K27" s="1165"/>
      <c r="L27" s="782" t="s">
        <v>2466</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2498</v>
      </c>
      <c r="C28" s="2074" t="s">
        <v>2499</v>
      </c>
      <c r="D28" s="2074" t="s">
        <v>2500</v>
      </c>
      <c r="E28" s="2075" t="s">
        <v>2501</v>
      </c>
      <c r="F28" s="2076"/>
      <c r="G28" s="2012"/>
      <c r="H28" s="2012"/>
      <c r="I28" s="2012"/>
      <c r="J28" s="2013"/>
      <c r="K28" s="1165"/>
      <c r="L28" s="2028" t="s">
        <v>2469</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2502</v>
      </c>
      <c r="C29" s="172" t="e">
        <f>ROUND(C5*C18*C19*C20*C21*C24,0)</f>
        <v>#DIV/0!</v>
      </c>
      <c r="D29" s="2079"/>
      <c r="E29" s="809" t="e">
        <f>ROUND(C29*D29/10000,0)</f>
        <v>#DIV/0!</v>
      </c>
      <c r="F29" s="2080" t="s">
        <v>2503</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2504</v>
      </c>
      <c r="C30" s="185" t="e">
        <f>ROUND(IF(E2="工业",C29*M39,C29*M38),0)</f>
        <v>#DIV/0!</v>
      </c>
      <c r="D30" s="2085"/>
      <c r="E30" s="809" t="e">
        <f>ROUND(C30*D30/10000,0)</f>
        <v>#DIV/0!</v>
      </c>
      <c r="F30" s="2086" t="s">
        <v>2505</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2506</v>
      </c>
      <c r="C31" s="2091" t="s">
        <v>2507</v>
      </c>
      <c r="D31" s="2012"/>
      <c r="E31" s="2091"/>
      <c r="F31" s="2091"/>
      <c r="G31" s="2010" t="s">
        <v>2508</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2499</v>
      </c>
      <c r="D32" s="441" t="s">
        <v>2500</v>
      </c>
      <c r="E32" s="441" t="s">
        <v>2501</v>
      </c>
      <c r="F32" s="339" t="s">
        <v>2509</v>
      </c>
      <c r="G32" s="2094" t="s">
        <v>2499</v>
      </c>
      <c r="H32" s="2094" t="s">
        <v>2500</v>
      </c>
      <c r="I32" s="2094" t="s">
        <v>2501</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294"/>
      <c r="B33" s="2095" t="s">
        <v>2510</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299" t="s">
        <v>2812</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295"/>
      <c r="B34" s="2015" t="s">
        <v>2511</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295"/>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295"/>
      <c r="B35" s="2015" t="s">
        <v>2512</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295"/>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296"/>
      <c r="B36" s="2015" t="s">
        <v>2513</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296"/>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2514</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2515</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2516</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2517</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2518</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2462</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2623</v>
      </c>
      <c r="C41" s="339" t="e">
        <f>ROUND(POWER(1+E41,H41-G41)*(POWER(1+E41,G41)-1)/(POWER(1+E41,H41)-1),4)</f>
        <v>#DIV/0!</v>
      </c>
      <c r="D41" s="168" t="s">
        <v>2469</v>
      </c>
      <c r="E41" s="2146">
        <f>G20</f>
        <v>0</v>
      </c>
      <c r="F41" s="168" t="s">
        <v>2478</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2519</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2520</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2521</v>
      </c>
      <c r="B47" s="1391" t="s">
        <v>2522</v>
      </c>
      <c r="C47" s="1391" t="s">
        <v>2523</v>
      </c>
      <c r="D47" s="1391" t="s">
        <v>2524</v>
      </c>
      <c r="E47" s="714" t="s">
        <v>2525</v>
      </c>
      <c r="F47" s="2111" t="s">
        <v>2526</v>
      </c>
      <c r="G47" s="1391" t="s">
        <v>574</v>
      </c>
      <c r="H47" s="783" t="s">
        <v>2527</v>
      </c>
      <c r="I47" s="1391" t="s">
        <v>2528</v>
      </c>
      <c r="J47" s="538" t="s">
        <v>2178</v>
      </c>
      <c r="K47" s="538" t="s">
        <v>2179</v>
      </c>
      <c r="L47" s="538" t="s">
        <v>2180</v>
      </c>
      <c r="M47" s="538" t="s">
        <v>2181</v>
      </c>
      <c r="N47" s="538" t="s">
        <v>2182</v>
      </c>
      <c r="AA47" s="1166"/>
      <c r="AB47" s="1166"/>
      <c r="AC47" s="1166"/>
      <c r="AD47" s="1166"/>
      <c r="AE47" s="1166"/>
      <c r="AF47" s="1166"/>
      <c r="AG47" s="1166"/>
      <c r="AH47" s="1166"/>
      <c r="AI47" s="1166"/>
      <c r="AJ47" s="1166"/>
      <c r="AK47" s="1166"/>
    </row>
    <row r="48" spans="1:37" s="1165" customFormat="1" ht="38.25">
      <c r="A48" s="2110" t="s">
        <v>2529</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1">
      <c r="A49" s="2110" t="s">
        <v>2530</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10" t="s">
        <v>2531</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36.75">
      <c r="A51" s="2110" t="s">
        <v>2532</v>
      </c>
      <c r="B51" s="2113" t="s">
        <v>2533</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10" t="s">
        <v>2534</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4">
      <c r="A53" s="2110" t="s">
        <v>2535</v>
      </c>
      <c r="B53" s="2114" t="s">
        <v>2536</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5.5">
      <c r="A54" s="2115" t="s">
        <v>2537</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5.5">
      <c r="A55" s="2115" t="s">
        <v>2538</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9" thickBot="1">
      <c r="A56" s="2116" t="s">
        <v>2539</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5">
      <c r="A57" s="2107" t="s">
        <v>2540</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2521</v>
      </c>
      <c r="B58" s="1391"/>
      <c r="C58" s="1391" t="s">
        <v>2523</v>
      </c>
      <c r="D58" s="1391" t="s">
        <v>2524</v>
      </c>
      <c r="E58" s="714" t="s">
        <v>2525</v>
      </c>
      <c r="F58" s="2111" t="s">
        <v>2541</v>
      </c>
      <c r="G58" s="1391" t="s">
        <v>574</v>
      </c>
      <c r="H58" s="783" t="s">
        <v>2527</v>
      </c>
      <c r="I58" s="1391" t="s">
        <v>2528</v>
      </c>
      <c r="J58" s="538" t="s">
        <v>2178</v>
      </c>
      <c r="K58" s="538" t="s">
        <v>2179</v>
      </c>
      <c r="L58" s="538" t="s">
        <v>2180</v>
      </c>
      <c r="M58" s="538" t="s">
        <v>2181</v>
      </c>
      <c r="N58" s="538" t="s">
        <v>2182</v>
      </c>
      <c r="AA58" s="1166"/>
      <c r="AB58" s="1166"/>
      <c r="AC58" s="1166"/>
      <c r="AD58" s="1166"/>
      <c r="AE58" s="1166"/>
      <c r="AF58" s="1166"/>
      <c r="AG58" s="1166"/>
      <c r="AH58" s="1166"/>
      <c r="AI58" s="1166"/>
      <c r="AJ58" s="1166"/>
      <c r="AK58" s="1166"/>
    </row>
    <row r="59" spans="1:37" s="1165" customFormat="1" ht="38.25">
      <c r="A59" s="2110" t="s">
        <v>2542</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1">
      <c r="A60" s="2110" t="s">
        <v>2530</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10" t="s">
        <v>2531</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36.75">
      <c r="A62" s="2110" t="s">
        <v>2532</v>
      </c>
      <c r="B62" s="2113" t="s">
        <v>2533</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10" t="s">
        <v>2534</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4">
      <c r="A64" s="2110" t="s">
        <v>2535</v>
      </c>
      <c r="B64" s="2114" t="s">
        <v>2536</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5.5">
      <c r="A65" s="2110" t="s">
        <v>2537</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5.5">
      <c r="A66" s="2110" t="s">
        <v>2538</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9" thickBot="1">
      <c r="A67" s="2116" t="s">
        <v>2539</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5">
      <c r="A68" s="2107" t="s">
        <v>2543</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2521</v>
      </c>
      <c r="B69" s="1391"/>
      <c r="C69" s="1391" t="s">
        <v>2523</v>
      </c>
      <c r="D69" s="1391" t="s">
        <v>2524</v>
      </c>
      <c r="E69" s="714" t="s">
        <v>2525</v>
      </c>
      <c r="F69" s="2111" t="s">
        <v>2541</v>
      </c>
      <c r="G69" s="1391" t="s">
        <v>574</v>
      </c>
      <c r="H69" s="783" t="s">
        <v>2527</v>
      </c>
      <c r="I69" s="1391" t="s">
        <v>2528</v>
      </c>
      <c r="J69" s="538" t="s">
        <v>2178</v>
      </c>
      <c r="K69" s="538" t="s">
        <v>2179</v>
      </c>
      <c r="L69" s="538" t="s">
        <v>2180</v>
      </c>
      <c r="M69" s="538" t="s">
        <v>2181</v>
      </c>
      <c r="N69" s="538" t="s">
        <v>2182</v>
      </c>
      <c r="AA69" s="1166"/>
      <c r="AB69" s="1166"/>
      <c r="AC69" s="1166"/>
      <c r="AD69" s="1166"/>
      <c r="AE69" s="1166"/>
      <c r="AF69" s="1166"/>
      <c r="AG69" s="1166"/>
      <c r="AH69" s="1166"/>
      <c r="AI69" s="1166"/>
      <c r="AJ69" s="1166"/>
      <c r="AK69" s="1166"/>
    </row>
    <row r="70" spans="1:37" s="1165" customFormat="1" ht="51">
      <c r="A70" s="2110" t="s">
        <v>2544</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1">
      <c r="A71" s="2110" t="s">
        <v>2530</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10" t="s">
        <v>2531</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25">
      <c r="A73" s="2110" t="s">
        <v>2545</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5.5">
      <c r="A74" s="2110" t="s">
        <v>2537</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5.5">
      <c r="A75" s="2110" t="s">
        <v>2538</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4">
      <c r="A76" s="2110" t="s">
        <v>2535</v>
      </c>
      <c r="B76" s="2114" t="s">
        <v>2536</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8.25">
      <c r="A77" s="2110" t="s">
        <v>2539</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4.75" thickBot="1">
      <c r="A78" s="2116" t="s">
        <v>2546</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5">
      <c r="A79" s="2107" t="s">
        <v>2547</v>
      </c>
      <c r="B79" s="2108">
        <f>1+E81</f>
        <v>1</v>
      </c>
      <c r="C79" s="710"/>
      <c r="D79" s="710"/>
      <c r="E79" s="711"/>
      <c r="F79" s="2109"/>
      <c r="G79" s="6"/>
      <c r="H79" s="6"/>
      <c r="I79" s="6"/>
      <c r="J79" s="7"/>
      <c r="K79" s="7"/>
      <c r="L79" s="7"/>
      <c r="M79" s="7"/>
      <c r="N79" s="7"/>
      <c r="Z79" s="1975"/>
      <c r="AA79" s="2034"/>
      <c r="AG79" s="1167"/>
      <c r="AK79" s="2034"/>
    </row>
    <row r="80" spans="1:37" ht="24.75">
      <c r="A80" s="2110" t="s">
        <v>2521</v>
      </c>
      <c r="B80" s="1391"/>
      <c r="C80" s="1391" t="s">
        <v>2523</v>
      </c>
      <c r="D80" s="1391" t="s">
        <v>2524</v>
      </c>
      <c r="E80" s="714" t="s">
        <v>2525</v>
      </c>
      <c r="F80" s="2111" t="s">
        <v>2541</v>
      </c>
      <c r="G80" s="1391" t="s">
        <v>574</v>
      </c>
      <c r="H80" s="783" t="s">
        <v>2527</v>
      </c>
      <c r="I80" s="1391" t="s">
        <v>2528</v>
      </c>
      <c r="J80" s="538" t="s">
        <v>2178</v>
      </c>
      <c r="K80" s="538" t="s">
        <v>2179</v>
      </c>
      <c r="L80" s="538" t="s">
        <v>2180</v>
      </c>
      <c r="M80" s="538" t="s">
        <v>2181</v>
      </c>
      <c r="N80" s="538" t="s">
        <v>2182</v>
      </c>
      <c r="Z80" s="1975"/>
      <c r="AA80" s="2034"/>
      <c r="AG80" s="1167"/>
      <c r="AK80" s="2034"/>
    </row>
    <row r="81" spans="1:37" ht="38.25">
      <c r="A81" s="2110" t="s">
        <v>2548</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1">
      <c r="A82" s="2110" t="s">
        <v>2530</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4">
      <c r="A83" s="2110" t="s">
        <v>2531</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25">
      <c r="A84" s="2110" t="s">
        <v>2545</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5.5">
      <c r="A85" s="2110" t="s">
        <v>2537</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5.5">
      <c r="A86" s="2110" t="s">
        <v>2538</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4">
      <c r="A87" s="2110" t="s">
        <v>2535</v>
      </c>
      <c r="B87" s="2114" t="s">
        <v>2549</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39" thickBot="1">
      <c r="A88" s="2116" t="s">
        <v>2550</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c r="A90" s="3286" t="s">
        <v>2551</v>
      </c>
      <c r="B90" s="3286"/>
      <c r="C90" s="3286"/>
      <c r="D90" s="3286"/>
      <c r="E90" s="3286"/>
      <c r="F90" s="3286"/>
      <c r="G90" s="3286"/>
      <c r="H90" s="3286"/>
      <c r="I90" s="3286"/>
      <c r="J90" s="3286"/>
      <c r="K90" s="2122"/>
      <c r="L90" s="2122"/>
      <c r="M90" s="2122"/>
      <c r="N90" s="2122"/>
    </row>
    <row r="91" spans="1:37">
      <c r="A91" s="3288" t="s">
        <v>2552</v>
      </c>
      <c r="B91" s="3288" t="s">
        <v>2553</v>
      </c>
      <c r="C91" s="2080" t="s">
        <v>2554</v>
      </c>
      <c r="D91" s="2081"/>
      <c r="E91" s="2081"/>
      <c r="F91" s="2081"/>
      <c r="G91" s="2081"/>
      <c r="H91" s="2081"/>
      <c r="I91" s="2081"/>
      <c r="J91" s="2123"/>
      <c r="K91" s="2124"/>
      <c r="L91" s="2124"/>
      <c r="M91" s="2124"/>
      <c r="N91" s="2124"/>
    </row>
    <row r="92" spans="1:37">
      <c r="A92" s="3288"/>
      <c r="B92" s="3288"/>
      <c r="C92" s="809" t="s">
        <v>2421</v>
      </c>
      <c r="D92" s="809" t="s">
        <v>2422</v>
      </c>
      <c r="E92" s="809" t="s">
        <v>2423</v>
      </c>
      <c r="F92" s="809" t="s">
        <v>2424</v>
      </c>
      <c r="G92" s="809" t="s">
        <v>2425</v>
      </c>
      <c r="H92" s="809" t="s">
        <v>2426</v>
      </c>
      <c r="I92" s="809" t="s">
        <v>2427</v>
      </c>
      <c r="J92" s="809" t="s">
        <v>2428</v>
      </c>
      <c r="K92" s="809" t="s">
        <v>2429</v>
      </c>
      <c r="L92" s="809" t="s">
        <v>2430</v>
      </c>
      <c r="M92" s="809" t="s">
        <v>2431</v>
      </c>
      <c r="N92" s="809" t="s">
        <v>2432</v>
      </c>
    </row>
    <row r="93" spans="1:37">
      <c r="A93" s="3289" t="s">
        <v>2555</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290"/>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290"/>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290"/>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290"/>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290"/>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290"/>
      <c r="B99" s="2125" t="s">
        <v>2437</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291"/>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289" t="s">
        <v>2556</v>
      </c>
      <c r="B101" s="2129" t="s">
        <v>2557</v>
      </c>
      <c r="C101" s="2130">
        <f>$G$3</f>
        <v>1.29</v>
      </c>
      <c r="D101" s="2130">
        <f t="shared" ref="D101:N101" si="31">$G$3</f>
        <v>1.29</v>
      </c>
      <c r="E101" s="2130">
        <f t="shared" si="31"/>
        <v>1.29</v>
      </c>
      <c r="F101" s="2130">
        <f t="shared" si="31"/>
        <v>1.29</v>
      </c>
      <c r="G101" s="2130">
        <f t="shared" si="31"/>
        <v>1.29</v>
      </c>
      <c r="H101" s="2130">
        <f t="shared" si="31"/>
        <v>1.29</v>
      </c>
      <c r="I101" s="2130">
        <f t="shared" si="31"/>
        <v>1.29</v>
      </c>
      <c r="J101" s="2130">
        <f t="shared" si="31"/>
        <v>1.29</v>
      </c>
      <c r="K101" s="2130">
        <f t="shared" si="31"/>
        <v>1.29</v>
      </c>
      <c r="L101" s="2130">
        <f t="shared" si="31"/>
        <v>1.29</v>
      </c>
      <c r="M101" s="2130">
        <f t="shared" si="31"/>
        <v>1.29</v>
      </c>
      <c r="N101" s="2130">
        <f t="shared" si="31"/>
        <v>1.29</v>
      </c>
    </row>
    <row r="102" spans="1:14">
      <c r="A102" s="3290"/>
      <c r="B102" s="2125">
        <v>1</v>
      </c>
      <c r="C102" s="2126">
        <f>1.9362/C101</f>
        <v>1.5009302325581395</v>
      </c>
      <c r="D102" s="2126">
        <f>1.9362/D101</f>
        <v>1.5009302325581395</v>
      </c>
      <c r="E102" s="2126">
        <f>1.8629/E101</f>
        <v>1.4441085271317828</v>
      </c>
      <c r="F102" s="2126">
        <f>1.8629/F101</f>
        <v>1.4441085271317828</v>
      </c>
      <c r="G102" s="2126">
        <f>1.8629/G101</f>
        <v>1.4441085271317828</v>
      </c>
      <c r="H102" s="2126">
        <f>1.8629/H101</f>
        <v>1.4441085271317828</v>
      </c>
      <c r="I102" s="2126">
        <f>1.8629/I101</f>
        <v>1.4441085271317828</v>
      </c>
      <c r="J102" s="2126">
        <f>1.942/J101</f>
        <v>1.5054263565891473</v>
      </c>
      <c r="K102" s="2126">
        <f>1.942/K101</f>
        <v>1.5054263565891473</v>
      </c>
      <c r="L102" s="2126">
        <f>1.942/L101</f>
        <v>1.5054263565891473</v>
      </c>
      <c r="M102" s="2126">
        <f>1.942/M101</f>
        <v>1.5054263565891473</v>
      </c>
      <c r="N102" s="2126">
        <f>1.942/N101</f>
        <v>1.5054263565891473</v>
      </c>
    </row>
    <row r="103" spans="1:14">
      <c r="A103" s="3290"/>
      <c r="B103" s="2125">
        <v>2</v>
      </c>
      <c r="C103" s="2126">
        <f>1.4198/C101</f>
        <v>1.1006201550387595</v>
      </c>
      <c r="D103" s="2126">
        <f>1.4198/D101</f>
        <v>1.1006201550387595</v>
      </c>
      <c r="E103" s="2126">
        <f>1.3372/E101</f>
        <v>1.0365891472868216</v>
      </c>
      <c r="F103" s="2126">
        <f>1.3372/F101</f>
        <v>1.0365891472868216</v>
      </c>
      <c r="G103" s="2126">
        <f>1.3372/G101</f>
        <v>1.0365891472868216</v>
      </c>
      <c r="H103" s="2126">
        <f>1.3372/H101</f>
        <v>1.0365891472868216</v>
      </c>
      <c r="I103" s="2126">
        <f>1.3372/I101</f>
        <v>1.0365891472868216</v>
      </c>
      <c r="J103" s="2126">
        <f>1.2799/J101</f>
        <v>0.99217054263565896</v>
      </c>
      <c r="K103" s="2126">
        <f>1.2799/K101</f>
        <v>0.99217054263565896</v>
      </c>
      <c r="L103" s="2126">
        <f>1.2799/L101</f>
        <v>0.99217054263565896</v>
      </c>
      <c r="M103" s="2126">
        <f>1.2799/M101</f>
        <v>0.99217054263565896</v>
      </c>
      <c r="N103" s="2126">
        <f>1.2799/N101</f>
        <v>0.99217054263565896</v>
      </c>
    </row>
    <row r="104" spans="1:14">
      <c r="A104" s="3290"/>
      <c r="B104" s="2125">
        <v>3</v>
      </c>
      <c r="C104" s="2126">
        <f>1.1594/C101</f>
        <v>0.89875968992248056</v>
      </c>
      <c r="D104" s="2126">
        <f>1.1594/D101</f>
        <v>0.89875968992248056</v>
      </c>
      <c r="E104" s="2126">
        <f>1.0788/E101</f>
        <v>0.83627906976744182</v>
      </c>
      <c r="F104" s="2126">
        <f>1.0788/F101</f>
        <v>0.83627906976744182</v>
      </c>
      <c r="G104" s="2126">
        <f>1.0788/G101</f>
        <v>0.83627906976744182</v>
      </c>
      <c r="H104" s="2126">
        <f>1.0788/H101</f>
        <v>0.83627906976744182</v>
      </c>
      <c r="I104" s="2126">
        <f>1.0788/I101</f>
        <v>0.83627906976744182</v>
      </c>
      <c r="J104" s="2126">
        <f>1.0072/J101</f>
        <v>0.78077519379844962</v>
      </c>
      <c r="K104" s="2126">
        <f>1.0072/K101</f>
        <v>0.78077519379844962</v>
      </c>
      <c r="L104" s="2126">
        <f>1.0072/L101</f>
        <v>0.78077519379844962</v>
      </c>
      <c r="M104" s="2126">
        <f>1.0072/M101</f>
        <v>0.78077519379844962</v>
      </c>
      <c r="N104" s="2126">
        <f>1.0072/N101</f>
        <v>0.78077519379844962</v>
      </c>
    </row>
    <row r="105" spans="1:14">
      <c r="A105" s="3290"/>
      <c r="B105" s="2125">
        <v>4</v>
      </c>
      <c r="C105" s="2126">
        <f>0.9622/C101</f>
        <v>0.74589147286821711</v>
      </c>
      <c r="D105" s="2126">
        <f>0.9622/D101</f>
        <v>0.74589147286821711</v>
      </c>
      <c r="E105" s="2126">
        <f>0.8656/E101</f>
        <v>0.67100775193798445</v>
      </c>
      <c r="F105" s="2126">
        <f>0.8656/F101</f>
        <v>0.67100775193798445</v>
      </c>
      <c r="G105" s="2126">
        <f>0.8656/G101</f>
        <v>0.67100775193798445</v>
      </c>
      <c r="H105" s="2126">
        <f>0.8656/H101</f>
        <v>0.67100775193798445</v>
      </c>
      <c r="I105" s="2126">
        <f>0.8656/I101</f>
        <v>0.67100775193798445</v>
      </c>
      <c r="J105" s="2126">
        <f>0.7525/J101</f>
        <v>0.58333333333333326</v>
      </c>
      <c r="K105" s="2126">
        <f>0.7525/K101</f>
        <v>0.58333333333333326</v>
      </c>
      <c r="L105" s="2126">
        <f>0.7525/L101</f>
        <v>0.58333333333333326</v>
      </c>
      <c r="M105" s="2126">
        <f>0.7525/M101</f>
        <v>0.58333333333333326</v>
      </c>
      <c r="N105" s="2126">
        <f>0.7525/N101</f>
        <v>0.58333333333333326</v>
      </c>
    </row>
    <row r="106" spans="1:14">
      <c r="A106" s="3290"/>
      <c r="B106" s="2125">
        <v>5</v>
      </c>
      <c r="C106" s="2126">
        <f>0.8417/C101</f>
        <v>0.65248062015503872</v>
      </c>
      <c r="D106" s="2126">
        <f>0.8417/D101</f>
        <v>0.65248062015503872</v>
      </c>
      <c r="E106" s="2126">
        <f>0.7371/E101</f>
        <v>0.57139534883720922</v>
      </c>
      <c r="F106" s="2126">
        <f>0.7371/F101</f>
        <v>0.57139534883720922</v>
      </c>
      <c r="G106" s="2126">
        <f>0.7371/G101</f>
        <v>0.57139534883720922</v>
      </c>
      <c r="H106" s="2126">
        <f>0.7371/H101</f>
        <v>0.57139534883720922</v>
      </c>
      <c r="I106" s="2126">
        <f>0.7371/I101</f>
        <v>0.57139534883720922</v>
      </c>
      <c r="J106" s="2126">
        <f>0.5659/J101</f>
        <v>0.43868217054263564</v>
      </c>
      <c r="K106" s="2126">
        <f>0.5659/K101</f>
        <v>0.43868217054263564</v>
      </c>
      <c r="L106" s="2126">
        <f>0.5659/L101</f>
        <v>0.43868217054263564</v>
      </c>
      <c r="M106" s="2126">
        <f>0.5659/M101</f>
        <v>0.43868217054263564</v>
      </c>
      <c r="N106" s="2126">
        <f>0.5659/N101</f>
        <v>0.43868217054263564</v>
      </c>
    </row>
    <row r="107" spans="1:14">
      <c r="A107" s="3290"/>
      <c r="B107" s="2125">
        <v>6</v>
      </c>
      <c r="C107" s="2126">
        <f>0.7608/C101</f>
        <v>0.58976744186046515</v>
      </c>
      <c r="D107" s="2126">
        <f>0.7608/D101</f>
        <v>0.58976744186046515</v>
      </c>
      <c r="E107" s="2126">
        <f>0.6482/E101</f>
        <v>0.50248062015503869</v>
      </c>
      <c r="F107" s="2126">
        <f>0.6482/F101</f>
        <v>0.50248062015503869</v>
      </c>
      <c r="G107" s="2126">
        <f>0.6482/G101</f>
        <v>0.50248062015503869</v>
      </c>
      <c r="H107" s="2126">
        <f>0.6482/H101</f>
        <v>0.50248062015503869</v>
      </c>
      <c r="I107" s="2126">
        <f>0.6482/I101</f>
        <v>0.50248062015503869</v>
      </c>
      <c r="J107" s="2126">
        <f>0.4525/J101</f>
        <v>0.35077519379844962</v>
      </c>
      <c r="K107" s="2126">
        <f>0.4525/K101</f>
        <v>0.35077519379844962</v>
      </c>
      <c r="L107" s="2126">
        <f>0.4525/L101</f>
        <v>0.35077519379844962</v>
      </c>
      <c r="M107" s="2126">
        <f>0.4525/M101</f>
        <v>0.35077519379844962</v>
      </c>
      <c r="N107" s="2126">
        <f>0.4525/N101</f>
        <v>0.35077519379844962</v>
      </c>
    </row>
    <row r="108" spans="1:14">
      <c r="A108" s="3290"/>
      <c r="B108" s="3292" t="s">
        <v>2558</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291"/>
      <c r="B109" s="3293"/>
      <c r="C109" s="2128">
        <f>(-0.163*(C108^2)-0.59*C108+7617)*(10^(-4))/C101</f>
        <v>0.59046511627906983</v>
      </c>
      <c r="D109" s="2128">
        <f>(-0.163*(D108^2)-0.59*D108+7617)*(10^(-4))/D101</f>
        <v>0.59046511627906983</v>
      </c>
      <c r="E109" s="2128">
        <f>(-0.161*(E108^2)-7.509*E108+6533)*(10^(-4))/E101</f>
        <v>0.50643410852713178</v>
      </c>
      <c r="F109" s="2128">
        <f>(-0.161*(F108^2)-7.509*F108+6533)*(10^(-4))/F101</f>
        <v>0.50643410852713178</v>
      </c>
      <c r="G109" s="2128">
        <f>(-0.161*(G108^2)-7.509*G108+6533)*(10^(-4))/G101</f>
        <v>0.50643410852713178</v>
      </c>
      <c r="H109" s="2128">
        <f>(-0.161*(H108^2)-7.509*H108+6533)*(10^(-4))/H101</f>
        <v>0.50643410852713178</v>
      </c>
      <c r="I109" s="2128">
        <f>(-0.161*(I108^2)-7.509*I108+6533)*(10^(-4))/I101</f>
        <v>0.50643410852713178</v>
      </c>
      <c r="J109" s="2128">
        <f>(-0.214*(J108^2)-21.991*J108+4665)*(10^(-4))/J101</f>
        <v>0.36162790697674418</v>
      </c>
      <c r="K109" s="2128">
        <f>(-0.214*(K108^2)-21.991*K108+4665)*(10^(-4))/K101</f>
        <v>0.36162790697674418</v>
      </c>
      <c r="L109" s="2128">
        <f>(-0.214*(L108^2)-21.991*L108+4665)*(10^(-4))/L101</f>
        <v>0.36162790697674418</v>
      </c>
      <c r="M109" s="2128">
        <f>(-0.214*(M108^2)-21.991*M108+4665)*(10^(-4))/M101</f>
        <v>0.36162790697674418</v>
      </c>
      <c r="N109" s="2128">
        <f>(-0.214*(N108^2)-21.991*N108+4665)*(10^(-4))/N101</f>
        <v>0.36162790697674418</v>
      </c>
    </row>
    <row r="110" spans="1:14">
      <c r="A110" s="3287" t="s">
        <v>2559</v>
      </c>
      <c r="B110" s="3287"/>
      <c r="C110" s="3287"/>
      <c r="D110" s="3287"/>
      <c r="E110" s="3287"/>
      <c r="F110" s="3287"/>
      <c r="G110" s="3287"/>
      <c r="H110" s="3287"/>
      <c r="I110" s="3287"/>
      <c r="J110" s="3287"/>
      <c r="K110" s="2131"/>
      <c r="L110" s="2131"/>
      <c r="M110" s="2131"/>
      <c r="N110" s="2131"/>
    </row>
    <row r="112" spans="1:14" ht="13.5" thickBot="1"/>
    <row r="113" spans="1:13" ht="15.75" thickBot="1">
      <c r="A113" s="777" t="s">
        <v>2560</v>
      </c>
      <c r="B113" s="1110">
        <f>G3</f>
        <v>1.29</v>
      </c>
      <c r="C113" s="778" t="s">
        <v>2561</v>
      </c>
      <c r="D113" s="779">
        <f>SUMPRODUCT((A115:A118=F113)*(B114:M114=H113)*B115:M118)</f>
        <v>0</v>
      </c>
      <c r="E113" s="168" t="s">
        <v>2394</v>
      </c>
      <c r="F113" s="2133">
        <f>E2</f>
        <v>0</v>
      </c>
      <c r="G113" s="168" t="s">
        <v>2395</v>
      </c>
      <c r="H113" s="2133">
        <f>G2</f>
        <v>0</v>
      </c>
      <c r="I113" s="168"/>
      <c r="J113" s="651"/>
      <c r="K113" s="651"/>
      <c r="L113" s="651"/>
      <c r="M113" s="651"/>
    </row>
    <row r="114" spans="1:13">
      <c r="A114" s="781"/>
      <c r="B114" s="2134" t="s">
        <v>2562</v>
      </c>
      <c r="C114" s="2134" t="s">
        <v>2563</v>
      </c>
      <c r="D114" s="2134" t="s">
        <v>2564</v>
      </c>
      <c r="E114" s="2135" t="s">
        <v>2565</v>
      </c>
      <c r="F114" s="2135" t="s">
        <v>2566</v>
      </c>
      <c r="G114" s="2135" t="s">
        <v>2567</v>
      </c>
      <c r="H114" s="2136" t="s">
        <v>2568</v>
      </c>
      <c r="I114" s="2136" t="s">
        <v>2569</v>
      </c>
      <c r="J114" s="2137" t="s">
        <v>2570</v>
      </c>
      <c r="K114" s="2137" t="s">
        <v>2571</v>
      </c>
      <c r="L114" s="2137" t="s">
        <v>2572</v>
      </c>
      <c r="M114" s="2138" t="s">
        <v>2573</v>
      </c>
    </row>
    <row r="115" spans="1:13">
      <c r="A115" s="782" t="s">
        <v>2459</v>
      </c>
      <c r="B115" s="783">
        <f>ROUND(0.9335-0.0094*B113,4)</f>
        <v>0.9214</v>
      </c>
      <c r="C115" s="783">
        <f>B115</f>
        <v>0.9214</v>
      </c>
      <c r="D115" s="783">
        <f>ROUND(0.8331-0.0109*B113,4)</f>
        <v>0.81899999999999995</v>
      </c>
      <c r="E115" s="783">
        <f>D115</f>
        <v>0.81899999999999995</v>
      </c>
      <c r="F115" s="783">
        <f>E115</f>
        <v>0.81899999999999995</v>
      </c>
      <c r="G115" s="783">
        <f>F115</f>
        <v>0.81899999999999995</v>
      </c>
      <c r="H115" s="783">
        <f>G115</f>
        <v>0.81899999999999995</v>
      </c>
      <c r="I115" s="783">
        <f>ROUND(0.689-0.0155*B113,4)</f>
        <v>0.66900000000000004</v>
      </c>
      <c r="J115" s="783">
        <f t="shared" ref="J115:M118" si="33">I115</f>
        <v>0.66900000000000004</v>
      </c>
      <c r="K115" s="783">
        <f t="shared" si="33"/>
        <v>0.66900000000000004</v>
      </c>
      <c r="L115" s="783">
        <f t="shared" si="33"/>
        <v>0.66900000000000004</v>
      </c>
      <c r="M115" s="784">
        <f t="shared" si="33"/>
        <v>0.66900000000000004</v>
      </c>
    </row>
    <row r="116" spans="1:13">
      <c r="A116" s="782" t="s">
        <v>2460</v>
      </c>
      <c r="B116" s="783">
        <f>ROUND(0.949-0.012*B113,4)</f>
        <v>0.9335</v>
      </c>
      <c r="C116" s="783">
        <f>B116</f>
        <v>0.9335</v>
      </c>
      <c r="D116" s="783">
        <f>ROUND(0.8567-0.013*B113,4)</f>
        <v>0.83989999999999998</v>
      </c>
      <c r="E116" s="783">
        <f t="shared" ref="E116:H117" si="34">D116</f>
        <v>0.83989999999999998</v>
      </c>
      <c r="F116" s="783">
        <f t="shared" si="34"/>
        <v>0.83989999999999998</v>
      </c>
      <c r="G116" s="783">
        <f t="shared" si="34"/>
        <v>0.83989999999999998</v>
      </c>
      <c r="H116" s="783">
        <f t="shared" si="34"/>
        <v>0.83989999999999998</v>
      </c>
      <c r="I116" s="783">
        <f>ROUND(0.7694-0.014*B113,4)</f>
        <v>0.75129999999999997</v>
      </c>
      <c r="J116" s="783">
        <f t="shared" si="33"/>
        <v>0.75129999999999997</v>
      </c>
      <c r="K116" s="783">
        <f t="shared" si="33"/>
        <v>0.75129999999999997</v>
      </c>
      <c r="L116" s="783">
        <f t="shared" si="33"/>
        <v>0.75129999999999997</v>
      </c>
      <c r="M116" s="784">
        <f t="shared" si="33"/>
        <v>0.75129999999999997</v>
      </c>
    </row>
    <row r="117" spans="1:13">
      <c r="A117" s="782" t="s">
        <v>2461</v>
      </c>
      <c r="B117" s="783">
        <f>ROUND(0.8808-0.006*B113,4)</f>
        <v>0.87309999999999999</v>
      </c>
      <c r="C117" s="783">
        <f>B117</f>
        <v>0.87309999999999999</v>
      </c>
      <c r="D117" s="783">
        <f>ROUND(0.8748-0.008*B113,4)</f>
        <v>0.86450000000000005</v>
      </c>
      <c r="E117" s="783">
        <f t="shared" si="34"/>
        <v>0.86450000000000005</v>
      </c>
      <c r="F117" s="783">
        <f t="shared" si="34"/>
        <v>0.86450000000000005</v>
      </c>
      <c r="G117" s="783">
        <f t="shared" si="34"/>
        <v>0.86450000000000005</v>
      </c>
      <c r="H117" s="783">
        <f t="shared" si="34"/>
        <v>0.86450000000000005</v>
      </c>
      <c r="I117" s="783">
        <f>ROUND(0.7412-0.0095*B113,4)</f>
        <v>0.72889999999999999</v>
      </c>
      <c r="J117" s="783">
        <f t="shared" si="33"/>
        <v>0.72889999999999999</v>
      </c>
      <c r="K117" s="783">
        <f t="shared" si="33"/>
        <v>0.72889999999999999</v>
      </c>
      <c r="L117" s="783">
        <f t="shared" si="33"/>
        <v>0.72889999999999999</v>
      </c>
      <c r="M117" s="784">
        <f t="shared" si="33"/>
        <v>0.72889999999999999</v>
      </c>
    </row>
    <row r="118" spans="1:13" ht="13.5" thickBot="1">
      <c r="A118" s="640" t="s">
        <v>2462</v>
      </c>
      <c r="B118" s="785">
        <f>ROUND(0.7275-0.01*B113,4)</f>
        <v>0.71460000000000001</v>
      </c>
      <c r="C118" s="785">
        <f>B118</f>
        <v>0.71460000000000001</v>
      </c>
      <c r="D118" s="785">
        <f>ROUND(0.7043-0.012*B113,4)</f>
        <v>0.68879999999999997</v>
      </c>
      <c r="E118" s="785">
        <f>D118</f>
        <v>0.68879999999999997</v>
      </c>
      <c r="F118" s="785">
        <f>E118</f>
        <v>0.68879999999999997</v>
      </c>
      <c r="G118" s="785">
        <f>ROUND(0.6299-0.0122*B113,4)</f>
        <v>0.61419999999999997</v>
      </c>
      <c r="H118" s="785">
        <f>G118</f>
        <v>0.61419999999999997</v>
      </c>
      <c r="I118" s="785">
        <f>ROUND(0.5667-0.0136*B113,4)</f>
        <v>0.54920000000000002</v>
      </c>
      <c r="J118" s="785">
        <f t="shared" si="33"/>
        <v>0.54920000000000002</v>
      </c>
      <c r="K118" s="785">
        <f t="shared" si="33"/>
        <v>0.54920000000000002</v>
      </c>
      <c r="L118" s="785">
        <f t="shared" si="33"/>
        <v>0.54920000000000002</v>
      </c>
      <c r="M118" s="786">
        <f t="shared" si="33"/>
        <v>0.54920000000000002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9" t="s">
        <v>2947</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2948</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2949</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2950</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2951</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2952</v>
      </c>
      <c r="B7" s="2933">
        <v>2.5</v>
      </c>
      <c r="C7" s="2933">
        <v>2.5</v>
      </c>
      <c r="D7" s="2933">
        <v>2</v>
      </c>
      <c r="E7" s="2933">
        <v>2</v>
      </c>
      <c r="F7" s="2933">
        <v>2</v>
      </c>
      <c r="G7" s="2933">
        <v>2</v>
      </c>
      <c r="H7" s="2933">
        <v>2</v>
      </c>
      <c r="I7" s="2934">
        <v>1.5</v>
      </c>
      <c r="J7" s="2934">
        <v>1.5</v>
      </c>
      <c r="K7" s="2934">
        <v>1.5</v>
      </c>
      <c r="L7" s="2934">
        <v>1.5</v>
      </c>
      <c r="M7" s="2935">
        <v>1.5</v>
      </c>
    </row>
    <row r="8" spans="1:13" ht="19.5" customHeight="1">
      <c r="A8" s="752"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2"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2"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2"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2"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2"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2"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3"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2625</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0" t="s">
        <v>2953</v>
      </c>
      <c r="B19" s="2942" t="s">
        <v>2954</v>
      </c>
      <c r="C19" s="2943" t="s">
        <v>2955</v>
      </c>
      <c r="D19" s="2944"/>
      <c r="E19" s="2938" t="s">
        <v>2956</v>
      </c>
      <c r="F19" s="759"/>
      <c r="G19" s="759"/>
    </row>
    <row r="20" spans="1:13" ht="19.5" customHeight="1">
      <c r="A20" s="3317" t="s">
        <v>2957</v>
      </c>
      <c r="B20" s="3310" t="s">
        <v>2958</v>
      </c>
      <c r="C20" s="2945" t="s">
        <v>2959</v>
      </c>
      <c r="D20" s="2946"/>
      <c r="E20" s="2947">
        <v>1</v>
      </c>
      <c r="F20" s="2948" t="s">
        <v>2960</v>
      </c>
      <c r="G20" s="763"/>
    </row>
    <row r="21" spans="1:13" ht="19.5" customHeight="1">
      <c r="A21" s="3318"/>
      <c r="B21" s="3311"/>
      <c r="C21" s="761" t="s">
        <v>2961</v>
      </c>
      <c r="D21" s="762"/>
      <c r="E21" s="2949">
        <v>1</v>
      </c>
      <c r="F21" s="2948" t="s">
        <v>2962</v>
      </c>
      <c r="G21" s="763"/>
    </row>
    <row r="22" spans="1:13" ht="19.5" customHeight="1">
      <c r="A22" s="3318"/>
      <c r="B22" s="3311"/>
      <c r="C22" s="761" t="s">
        <v>2963</v>
      </c>
      <c r="D22" s="762"/>
      <c r="E22" s="2949">
        <v>0.9</v>
      </c>
      <c r="F22" s="2948" t="s">
        <v>2964</v>
      </c>
      <c r="G22" s="763"/>
    </row>
    <row r="23" spans="1:13" ht="19.5" customHeight="1">
      <c r="A23" s="3318"/>
      <c r="B23" s="3311"/>
      <c r="C23" s="761" t="s">
        <v>2965</v>
      </c>
      <c r="D23" s="762"/>
      <c r="E23" s="2949">
        <v>0.9</v>
      </c>
      <c r="F23" s="2948" t="s">
        <v>2966</v>
      </c>
      <c r="G23" s="763"/>
    </row>
    <row r="24" spans="1:13" ht="19.5" customHeight="1">
      <c r="A24" s="3318"/>
      <c r="B24" s="3311"/>
      <c r="C24" s="761" t="s">
        <v>2967</v>
      </c>
      <c r="D24" s="762"/>
      <c r="E24" s="2949">
        <v>0.8</v>
      </c>
      <c r="F24" s="2948" t="s">
        <v>2968</v>
      </c>
      <c r="G24" s="763"/>
    </row>
    <row r="25" spans="1:13" ht="19.5" customHeight="1" thickBot="1">
      <c r="A25" s="3319"/>
      <c r="B25" s="3312"/>
      <c r="C25" s="2950" t="s">
        <v>2969</v>
      </c>
      <c r="D25" s="2951"/>
      <c r="E25" s="2952">
        <v>0.8</v>
      </c>
      <c r="F25" s="2948" t="s">
        <v>2970</v>
      </c>
      <c r="G25" s="763"/>
    </row>
    <row r="26" spans="1:13" ht="19.5" customHeight="1" thickBot="1">
      <c r="A26" s="2953" t="s">
        <v>2971</v>
      </c>
      <c r="B26" s="2954" t="s">
        <v>2958</v>
      </c>
      <c r="C26" s="2955" t="s">
        <v>2972</v>
      </c>
      <c r="D26" s="2956"/>
      <c r="E26" s="2957">
        <v>1</v>
      </c>
      <c r="F26" s="2948" t="s">
        <v>2973</v>
      </c>
      <c r="G26" s="763"/>
    </row>
    <row r="27" spans="1:13" ht="19.5" customHeight="1">
      <c r="A27" s="3313" t="s">
        <v>2974</v>
      </c>
      <c r="B27" s="3310" t="s">
        <v>2974</v>
      </c>
      <c r="C27" s="2945" t="s">
        <v>2975</v>
      </c>
      <c r="D27" s="2946"/>
      <c r="E27" s="2947">
        <v>1</v>
      </c>
      <c r="F27" s="2948" t="s">
        <v>2976</v>
      </c>
      <c r="G27" s="763"/>
    </row>
    <row r="28" spans="1:13" ht="19.5" customHeight="1">
      <c r="A28" s="3314"/>
      <c r="B28" s="3311"/>
      <c r="C28" s="761" t="s">
        <v>2977</v>
      </c>
      <c r="D28" s="762"/>
      <c r="E28" s="2949">
        <v>1</v>
      </c>
      <c r="F28" s="2948" t="s">
        <v>2978</v>
      </c>
      <c r="G28" s="763"/>
    </row>
    <row r="29" spans="1:13" ht="19.5" customHeight="1">
      <c r="A29" s="3314"/>
      <c r="B29" s="3311"/>
      <c r="C29" s="761" t="s">
        <v>2979</v>
      </c>
      <c r="D29" s="762"/>
      <c r="E29" s="2949">
        <v>0.8</v>
      </c>
      <c r="F29" s="2948" t="s">
        <v>2980</v>
      </c>
      <c r="G29" s="763"/>
    </row>
    <row r="30" spans="1:13" ht="19.5" customHeight="1">
      <c r="A30" s="3314"/>
      <c r="B30" s="3311"/>
      <c r="C30" s="761" t="s">
        <v>2981</v>
      </c>
      <c r="D30" s="762"/>
      <c r="E30" s="2949">
        <v>0.8</v>
      </c>
      <c r="F30" s="2948" t="s">
        <v>2982</v>
      </c>
      <c r="G30" s="763"/>
    </row>
    <row r="31" spans="1:13" ht="19.5" customHeight="1">
      <c r="A31" s="3314"/>
      <c r="B31" s="3311"/>
      <c r="C31" s="761" t="s">
        <v>2983</v>
      </c>
      <c r="D31" s="762"/>
      <c r="E31" s="2949">
        <v>0.8</v>
      </c>
      <c r="F31" s="2948" t="s">
        <v>2984</v>
      </c>
      <c r="G31" s="763"/>
    </row>
    <row r="32" spans="1:13" ht="19.5" customHeight="1">
      <c r="A32" s="3314"/>
      <c r="B32" s="3311"/>
      <c r="C32" s="761" t="s">
        <v>2985</v>
      </c>
      <c r="D32" s="762"/>
      <c r="E32" s="2949">
        <v>0.7</v>
      </c>
      <c r="F32" s="2948" t="s">
        <v>2986</v>
      </c>
      <c r="G32" s="763"/>
    </row>
    <row r="33" spans="1:7" ht="19.5" customHeight="1">
      <c r="A33" s="3314"/>
      <c r="B33" s="3311"/>
      <c r="C33" s="761" t="s">
        <v>2987</v>
      </c>
      <c r="D33" s="762"/>
      <c r="E33" s="2949">
        <v>0.8</v>
      </c>
      <c r="F33" s="2948" t="s">
        <v>2988</v>
      </c>
      <c r="G33" s="763"/>
    </row>
    <row r="34" spans="1:7" ht="19.5" customHeight="1">
      <c r="A34" s="3314"/>
      <c r="B34" s="3311"/>
      <c r="C34" s="761" t="s">
        <v>2989</v>
      </c>
      <c r="D34" s="762"/>
      <c r="E34" s="2949">
        <v>0.6</v>
      </c>
      <c r="F34" s="2948" t="s">
        <v>2990</v>
      </c>
      <c r="G34" s="763"/>
    </row>
    <row r="35" spans="1:7" ht="19.5" customHeight="1">
      <c r="A35" s="3314"/>
      <c r="B35" s="3311"/>
      <c r="C35" s="761" t="s">
        <v>2991</v>
      </c>
      <c r="D35" s="762"/>
      <c r="E35" s="2949">
        <v>0.2</v>
      </c>
      <c r="F35" s="2948" t="s">
        <v>2992</v>
      </c>
      <c r="G35" s="763"/>
    </row>
    <row r="36" spans="1:7" ht="19.5" customHeight="1">
      <c r="A36" s="3314"/>
      <c r="B36" s="3311"/>
      <c r="C36" s="761" t="s">
        <v>2993</v>
      </c>
      <c r="D36" s="762"/>
      <c r="E36" s="2949">
        <v>0.2</v>
      </c>
      <c r="F36" s="2948" t="s">
        <v>2994</v>
      </c>
      <c r="G36" s="763"/>
    </row>
    <row r="37" spans="1:7" ht="19.5" customHeight="1">
      <c r="A37" s="3314"/>
      <c r="B37" s="3316" t="s">
        <v>2995</v>
      </c>
      <c r="C37" s="761" t="s">
        <v>2996</v>
      </c>
      <c r="D37" s="762"/>
      <c r="E37" s="2949">
        <v>0.6</v>
      </c>
      <c r="F37" s="2948" t="s">
        <v>2997</v>
      </c>
      <c r="G37" s="763"/>
    </row>
    <row r="38" spans="1:7" ht="19.5" customHeight="1">
      <c r="A38" s="3314"/>
      <c r="B38" s="3311"/>
      <c r="C38" s="761" t="s">
        <v>2998</v>
      </c>
      <c r="D38" s="762"/>
      <c r="E38" s="2949">
        <v>0.6</v>
      </c>
      <c r="F38" s="2948" t="s">
        <v>2999</v>
      </c>
      <c r="G38" s="763"/>
    </row>
    <row r="39" spans="1:7" ht="19.5" customHeight="1" thickBot="1">
      <c r="A39" s="3315"/>
      <c r="B39" s="3312"/>
      <c r="C39" s="2950" t="s">
        <v>3000</v>
      </c>
      <c r="D39" s="2951"/>
      <c r="E39" s="2952">
        <v>0.6</v>
      </c>
      <c r="F39" s="2948" t="s">
        <v>3001</v>
      </c>
      <c r="G39" s="763"/>
    </row>
    <row r="40" spans="1:7" ht="19.5" customHeight="1" thickBot="1">
      <c r="A40" s="2953" t="s">
        <v>3002</v>
      </c>
      <c r="B40" s="2954" t="s">
        <v>3002</v>
      </c>
      <c r="C40" s="2955" t="s">
        <v>3003</v>
      </c>
      <c r="D40" s="2956"/>
      <c r="E40" s="2957">
        <v>1</v>
      </c>
      <c r="F40" s="2948" t="s">
        <v>3004</v>
      </c>
      <c r="G40" s="763"/>
    </row>
    <row r="41" spans="1:7" ht="19.5" customHeight="1">
      <c r="A41" s="3317" t="s">
        <v>3005</v>
      </c>
      <c r="B41" s="3310" t="s">
        <v>3006</v>
      </c>
      <c r="C41" s="2945" t="s">
        <v>3007</v>
      </c>
      <c r="D41" s="2946"/>
      <c r="E41" s="2947">
        <v>1</v>
      </c>
      <c r="F41" s="2948" t="s">
        <v>3008</v>
      </c>
      <c r="G41" s="763"/>
    </row>
    <row r="42" spans="1:7" ht="19.5" customHeight="1">
      <c r="A42" s="3318"/>
      <c r="B42" s="3311"/>
      <c r="C42" s="761" t="s">
        <v>3009</v>
      </c>
      <c r="D42" s="762"/>
      <c r="E42" s="2949">
        <v>1</v>
      </c>
      <c r="F42" s="2948" t="s">
        <v>3010</v>
      </c>
      <c r="G42" s="763"/>
    </row>
    <row r="43" spans="1:7" ht="19.5" customHeight="1">
      <c r="A43" s="3318"/>
      <c r="B43" s="3320"/>
      <c r="C43" s="761" t="s">
        <v>3011</v>
      </c>
      <c r="D43" s="762"/>
      <c r="E43" s="2949">
        <v>1.5</v>
      </c>
      <c r="F43" s="2948" t="s">
        <v>3012</v>
      </c>
      <c r="G43" s="763"/>
    </row>
    <row r="44" spans="1:7" ht="19.5" customHeight="1">
      <c r="A44" s="3318"/>
      <c r="B44" s="2958" t="s">
        <v>2974</v>
      </c>
      <c r="C44" s="761" t="s">
        <v>3013</v>
      </c>
      <c r="D44" s="762"/>
      <c r="E44" s="2949">
        <v>2</v>
      </c>
      <c r="F44" s="2948" t="s">
        <v>3014</v>
      </c>
      <c r="G44" s="763"/>
    </row>
    <row r="45" spans="1:7" ht="19.5" customHeight="1">
      <c r="A45" s="3318"/>
      <c r="B45" s="3316" t="s">
        <v>3015</v>
      </c>
      <c r="C45" s="761" t="s">
        <v>3016</v>
      </c>
      <c r="D45" s="762"/>
      <c r="E45" s="2949">
        <v>1</v>
      </c>
      <c r="F45" s="2948" t="s">
        <v>3017</v>
      </c>
      <c r="G45" s="763"/>
    </row>
    <row r="46" spans="1:7" ht="19.5" customHeight="1">
      <c r="A46" s="3318"/>
      <c r="B46" s="3311"/>
      <c r="C46" s="761" t="s">
        <v>3018</v>
      </c>
      <c r="D46" s="762"/>
      <c r="E46" s="2949">
        <v>1</v>
      </c>
      <c r="F46" s="2948" t="s">
        <v>3019</v>
      </c>
      <c r="G46" s="763"/>
    </row>
    <row r="47" spans="1:7" ht="19.5" customHeight="1">
      <c r="A47" s="3318"/>
      <c r="B47" s="3311"/>
      <c r="C47" s="761" t="s">
        <v>3020</v>
      </c>
      <c r="D47" s="762"/>
      <c r="E47" s="2949">
        <v>1</v>
      </c>
      <c r="F47" s="2948" t="s">
        <v>3021</v>
      </c>
      <c r="G47" s="763"/>
    </row>
    <row r="48" spans="1:7" ht="19.5" customHeight="1">
      <c r="A48" s="3318"/>
      <c r="B48" s="3311"/>
      <c r="C48" s="761" t="s">
        <v>3022</v>
      </c>
      <c r="D48" s="762"/>
      <c r="E48" s="2949">
        <v>1</v>
      </c>
      <c r="F48" s="2948" t="s">
        <v>3023</v>
      </c>
      <c r="G48" s="763"/>
    </row>
    <row r="49" spans="1:9" ht="19.5" customHeight="1">
      <c r="A49" s="3318"/>
      <c r="B49" s="3311"/>
      <c r="C49" s="761" t="s">
        <v>3024</v>
      </c>
      <c r="D49" s="762"/>
      <c r="E49" s="2949">
        <v>1</v>
      </c>
      <c r="F49" s="2948" t="s">
        <v>3025</v>
      </c>
      <c r="G49" s="763"/>
    </row>
    <row r="50" spans="1:9" ht="19.5" customHeight="1">
      <c r="A50" s="3318"/>
      <c r="B50" s="3311"/>
      <c r="C50" s="761" t="s">
        <v>3026</v>
      </c>
      <c r="D50" s="762"/>
      <c r="E50" s="2949">
        <v>1</v>
      </c>
      <c r="F50" s="2948" t="s">
        <v>3027</v>
      </c>
      <c r="G50" s="763"/>
    </row>
    <row r="51" spans="1:9" ht="19.5" customHeight="1" thickBot="1">
      <c r="A51" s="3319"/>
      <c r="B51" s="3312"/>
      <c r="C51" s="2950" t="s">
        <v>3028</v>
      </c>
      <c r="D51" s="2951"/>
      <c r="E51" s="2952">
        <v>1</v>
      </c>
      <c r="F51" s="2948" t="s">
        <v>3029</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8">
        <v>0.7</v>
      </c>
      <c r="C57" s="2938">
        <v>0.4</v>
      </c>
      <c r="D57" s="2938">
        <v>0.3</v>
      </c>
      <c r="E57" s="2944">
        <v>0.3</v>
      </c>
      <c r="F57" s="2938">
        <v>0.3</v>
      </c>
      <c r="G57" s="2938">
        <v>0.2</v>
      </c>
      <c r="I57"/>
    </row>
    <row r="58" spans="1:9" ht="19.5" customHeight="1">
      <c r="A58" s="769" t="s">
        <v>158</v>
      </c>
      <c r="B58" s="2938">
        <v>0.7</v>
      </c>
      <c r="C58" s="2938">
        <v>0.4</v>
      </c>
      <c r="D58" s="2938">
        <v>0.3</v>
      </c>
      <c r="E58" s="2938">
        <v>0.3</v>
      </c>
      <c r="F58" s="2938">
        <v>0.3</v>
      </c>
      <c r="G58" s="2938">
        <v>0.2</v>
      </c>
      <c r="I58"/>
    </row>
    <row r="59" spans="1:9" ht="19.5" customHeight="1">
      <c r="A59" s="769" t="s">
        <v>159</v>
      </c>
      <c r="B59" s="2938">
        <v>0.6</v>
      </c>
      <c r="C59" s="2938">
        <v>0.3</v>
      </c>
      <c r="D59" s="2938">
        <v>0.25</v>
      </c>
      <c r="E59" s="2938">
        <v>0.25</v>
      </c>
      <c r="F59" s="2938">
        <v>0.25</v>
      </c>
      <c r="G59" s="2938">
        <v>0.15</v>
      </c>
      <c r="I59"/>
    </row>
    <row r="60" spans="1:9" ht="19.5" customHeight="1">
      <c r="A60" s="769" t="s">
        <v>160</v>
      </c>
      <c r="B60" s="2938">
        <v>0.6</v>
      </c>
      <c r="C60" s="2938">
        <v>0.3</v>
      </c>
      <c r="D60" s="2938">
        <v>0.25</v>
      </c>
      <c r="E60" s="2938">
        <v>0.25</v>
      </c>
      <c r="F60" s="2938">
        <v>0.25</v>
      </c>
      <c r="G60" s="2938">
        <v>0.15</v>
      </c>
      <c r="I60"/>
    </row>
    <row r="61" spans="1:9" s="757" customFormat="1" ht="19.5" customHeight="1">
      <c r="A61" s="769" t="s">
        <v>161</v>
      </c>
      <c r="B61" s="2938">
        <v>0.6</v>
      </c>
      <c r="C61" s="2938">
        <v>0.3</v>
      </c>
      <c r="D61" s="2938">
        <v>0.25</v>
      </c>
      <c r="E61" s="2938">
        <v>0.25</v>
      </c>
      <c r="F61" s="2938">
        <v>0.25</v>
      </c>
      <c r="G61" s="2938">
        <v>0.15</v>
      </c>
    </row>
    <row r="62" spans="1:9" s="757" customFormat="1" ht="19.5" customHeight="1">
      <c r="A62" s="769" t="s">
        <v>162</v>
      </c>
      <c r="B62" s="2938">
        <v>0.6</v>
      </c>
      <c r="C62" s="2938">
        <v>0.3</v>
      </c>
      <c r="D62" s="2938">
        <v>0.25</v>
      </c>
      <c r="E62" s="2938">
        <v>0.25</v>
      </c>
      <c r="F62" s="2938">
        <v>0.25</v>
      </c>
      <c r="G62" s="2938">
        <v>0.15</v>
      </c>
    </row>
    <row r="63" spans="1:9" s="757" customFormat="1" ht="19.5" customHeight="1">
      <c r="A63" s="769" t="s">
        <v>163</v>
      </c>
      <c r="B63" s="2938">
        <v>0.6</v>
      </c>
      <c r="C63" s="2938">
        <v>0.3</v>
      </c>
      <c r="D63" s="2938">
        <v>0.25</v>
      </c>
      <c r="E63" s="2938">
        <v>0.25</v>
      </c>
      <c r="F63" s="2938">
        <v>0.25</v>
      </c>
      <c r="G63" s="2938">
        <v>0.15</v>
      </c>
    </row>
    <row r="64" spans="1:9" s="757" customFormat="1" ht="19.5" customHeight="1">
      <c r="A64" s="769" t="s">
        <v>164</v>
      </c>
      <c r="B64" s="2938">
        <v>0.5</v>
      </c>
      <c r="C64" s="2938">
        <v>0.2</v>
      </c>
      <c r="D64" s="2938">
        <v>0.2</v>
      </c>
      <c r="E64" s="2938">
        <v>0.2</v>
      </c>
      <c r="F64" s="2938">
        <v>0.2</v>
      </c>
      <c r="G64" s="2938">
        <v>0.1</v>
      </c>
    </row>
    <row r="65" spans="1:7" s="757" customFormat="1" ht="19.5" customHeight="1">
      <c r="A65" s="769" t="s">
        <v>165</v>
      </c>
      <c r="B65" s="2938">
        <v>0.5</v>
      </c>
      <c r="C65" s="2938">
        <v>0.2</v>
      </c>
      <c r="D65" s="2938">
        <v>0.2</v>
      </c>
      <c r="E65" s="2938">
        <v>0.2</v>
      </c>
      <c r="F65" s="2938">
        <v>0.2</v>
      </c>
      <c r="G65" s="2938">
        <v>0.1</v>
      </c>
    </row>
    <row r="66" spans="1:7" s="757" customFormat="1" ht="19.5" customHeight="1">
      <c r="A66" s="769" t="s">
        <v>166</v>
      </c>
      <c r="B66" s="2938">
        <v>0.5</v>
      </c>
      <c r="C66" s="2938">
        <v>0.2</v>
      </c>
      <c r="D66" s="2938">
        <v>0.2</v>
      </c>
      <c r="E66" s="2938">
        <v>0.2</v>
      </c>
      <c r="F66" s="2938">
        <v>0.2</v>
      </c>
      <c r="G66" s="2938">
        <v>0.1</v>
      </c>
    </row>
    <row r="67" spans="1:7" s="757" customFormat="1" ht="19.5" customHeight="1">
      <c r="A67" s="769" t="s">
        <v>167</v>
      </c>
      <c r="B67" s="2938">
        <v>0.5</v>
      </c>
      <c r="C67" s="2938">
        <v>0.2</v>
      </c>
      <c r="D67" s="2938">
        <v>0.2</v>
      </c>
      <c r="E67" s="2938">
        <v>0.2</v>
      </c>
      <c r="F67" s="2938">
        <v>0.2</v>
      </c>
      <c r="G67" s="2938">
        <v>0.1</v>
      </c>
    </row>
    <row r="68" spans="1:7" s="757" customFormat="1" ht="19.5" customHeight="1">
      <c r="A68" s="769" t="s">
        <v>168</v>
      </c>
      <c r="B68" s="2938">
        <v>0.5</v>
      </c>
      <c r="C68" s="2938">
        <v>0.2</v>
      </c>
      <c r="D68" s="2938">
        <v>0.2</v>
      </c>
      <c r="E68" s="2938">
        <v>0.2</v>
      </c>
      <c r="F68" s="2938">
        <v>0.2</v>
      </c>
      <c r="G68" s="2938">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3030</v>
      </c>
      <c r="D72" s="760"/>
      <c r="E72" s="770" t="s">
        <v>1</v>
      </c>
      <c r="F72" s="760" t="s">
        <v>1</v>
      </c>
    </row>
    <row r="73" spans="1:7" s="757" customFormat="1" ht="13.5">
      <c r="A73" s="2958">
        <v>1</v>
      </c>
      <c r="B73" s="3316" t="s">
        <v>3031</v>
      </c>
      <c r="C73" s="2938" t="s">
        <v>3032</v>
      </c>
      <c r="D73" s="2938" t="s">
        <v>3033</v>
      </c>
      <c r="E73" s="2959">
        <v>0.2</v>
      </c>
      <c r="F73" s="2958">
        <v>25</v>
      </c>
    </row>
    <row r="74" spans="1:7" s="757" customFormat="1" ht="24">
      <c r="A74" s="2958">
        <v>2</v>
      </c>
      <c r="B74" s="3311"/>
      <c r="C74" s="2938" t="s">
        <v>3034</v>
      </c>
      <c r="D74" s="2938" t="s">
        <v>3035</v>
      </c>
      <c r="E74" s="2959">
        <v>0.2</v>
      </c>
      <c r="F74" s="2958">
        <v>25</v>
      </c>
    </row>
    <row r="75" spans="1:7" s="757" customFormat="1" ht="24">
      <c r="A75" s="2958">
        <v>3</v>
      </c>
      <c r="B75" s="3311"/>
      <c r="C75" s="2938" t="s">
        <v>3036</v>
      </c>
      <c r="D75" s="2938" t="s">
        <v>3037</v>
      </c>
      <c r="E75" s="2959">
        <v>0.2</v>
      </c>
      <c r="F75" s="2958">
        <v>25</v>
      </c>
    </row>
    <row r="76" spans="1:7" s="757" customFormat="1" ht="13.5">
      <c r="A76" s="2958">
        <v>4</v>
      </c>
      <c r="B76" s="3311"/>
      <c r="C76" s="2938" t="s">
        <v>3038</v>
      </c>
      <c r="D76" s="2938" t="s">
        <v>3039</v>
      </c>
      <c r="E76" s="2959">
        <v>0.15</v>
      </c>
      <c r="F76" s="2958">
        <v>20</v>
      </c>
    </row>
    <row r="77" spans="1:7" s="757" customFormat="1" ht="24">
      <c r="A77" s="2958">
        <v>5</v>
      </c>
      <c r="B77" s="3311"/>
      <c r="C77" s="2938" t="s">
        <v>3040</v>
      </c>
      <c r="D77" s="2938" t="s">
        <v>3041</v>
      </c>
      <c r="E77" s="2959">
        <v>0.15</v>
      </c>
      <c r="F77" s="2958">
        <v>20</v>
      </c>
    </row>
    <row r="78" spans="1:7" s="757" customFormat="1" ht="24">
      <c r="A78" s="2958">
        <v>6</v>
      </c>
      <c r="B78" s="3311"/>
      <c r="C78" s="2938" t="s">
        <v>3042</v>
      </c>
      <c r="D78" s="2938" t="s">
        <v>3043</v>
      </c>
      <c r="E78" s="2959">
        <v>0.15</v>
      </c>
      <c r="F78" s="2958">
        <v>20</v>
      </c>
    </row>
    <row r="79" spans="1:7" s="757" customFormat="1" ht="24">
      <c r="A79" s="2958">
        <v>7</v>
      </c>
      <c r="B79" s="3311"/>
      <c r="C79" s="2938" t="s">
        <v>3044</v>
      </c>
      <c r="D79" s="2938" t="s">
        <v>3045</v>
      </c>
      <c r="E79" s="2959">
        <v>0.15</v>
      </c>
      <c r="F79" s="2958">
        <v>20</v>
      </c>
    </row>
    <row r="80" spans="1:7" s="757" customFormat="1" ht="24">
      <c r="A80" s="2958">
        <v>8</v>
      </c>
      <c r="B80" s="3311"/>
      <c r="C80" s="2938" t="s">
        <v>3046</v>
      </c>
      <c r="D80" s="2938" t="s">
        <v>3047</v>
      </c>
      <c r="E80" s="2959">
        <v>0.1</v>
      </c>
      <c r="F80" s="2958">
        <v>15</v>
      </c>
    </row>
    <row r="81" spans="1:6" s="757" customFormat="1" ht="24">
      <c r="A81" s="2958">
        <v>9</v>
      </c>
      <c r="B81" s="3311"/>
      <c r="C81" s="2938" t="s">
        <v>3048</v>
      </c>
      <c r="D81" s="2938" t="s">
        <v>3049</v>
      </c>
      <c r="E81" s="2959">
        <v>0.1</v>
      </c>
      <c r="F81" s="2958">
        <v>15</v>
      </c>
    </row>
    <row r="82" spans="1:6" s="757" customFormat="1" ht="24">
      <c r="A82" s="2958">
        <v>10</v>
      </c>
      <c r="B82" s="3311"/>
      <c r="C82" s="2938" t="s">
        <v>3050</v>
      </c>
      <c r="D82" s="2938" t="s">
        <v>3051</v>
      </c>
      <c r="E82" s="2959">
        <v>0.1</v>
      </c>
      <c r="F82" s="2958">
        <v>15</v>
      </c>
    </row>
    <row r="83" spans="1:6" s="757" customFormat="1" ht="24">
      <c r="A83" s="2958">
        <v>11</v>
      </c>
      <c r="B83" s="3311"/>
      <c r="C83" s="2938" t="s">
        <v>3052</v>
      </c>
      <c r="D83" s="2938" t="s">
        <v>3053</v>
      </c>
      <c r="E83" s="2959">
        <v>0.1</v>
      </c>
      <c r="F83" s="2958">
        <v>15</v>
      </c>
    </row>
    <row r="84" spans="1:6" s="757" customFormat="1" ht="24">
      <c r="A84" s="2958">
        <v>12</v>
      </c>
      <c r="B84" s="3311"/>
      <c r="C84" s="2938" t="s">
        <v>3054</v>
      </c>
      <c r="D84" s="2938" t="s">
        <v>3055</v>
      </c>
      <c r="E84" s="2959">
        <v>0.1</v>
      </c>
      <c r="F84" s="2958">
        <v>15</v>
      </c>
    </row>
    <row r="85" spans="1:6" s="757" customFormat="1" ht="13.5">
      <c r="A85" s="2958">
        <v>13</v>
      </c>
      <c r="B85" s="3311"/>
      <c r="C85" s="2938" t="s">
        <v>3056</v>
      </c>
      <c r="D85" s="2938" t="s">
        <v>3057</v>
      </c>
      <c r="E85" s="2959">
        <v>0.1</v>
      </c>
      <c r="F85" s="2958">
        <v>15</v>
      </c>
    </row>
    <row r="86" spans="1:6" s="757" customFormat="1" ht="13.5">
      <c r="A86" s="2958">
        <v>14</v>
      </c>
      <c r="B86" s="3311"/>
      <c r="C86" s="2938" t="s">
        <v>3058</v>
      </c>
      <c r="D86" s="2938" t="s">
        <v>3059</v>
      </c>
      <c r="E86" s="2959">
        <v>0.1</v>
      </c>
      <c r="F86" s="2958">
        <v>15</v>
      </c>
    </row>
    <row r="87" spans="1:6" s="757" customFormat="1" ht="13.5">
      <c r="A87" s="2958">
        <v>15</v>
      </c>
      <c r="B87" s="3311"/>
      <c r="C87" s="2938" t="s">
        <v>3060</v>
      </c>
      <c r="D87" s="2938" t="s">
        <v>3061</v>
      </c>
      <c r="E87" s="2959">
        <v>0.1</v>
      </c>
      <c r="F87" s="2958">
        <v>15</v>
      </c>
    </row>
    <row r="88" spans="1:6" s="757" customFormat="1" ht="24">
      <c r="A88" s="2958">
        <v>16</v>
      </c>
      <c r="B88" s="3311"/>
      <c r="C88" s="2938" t="s">
        <v>3062</v>
      </c>
      <c r="D88" s="2938" t="s">
        <v>3063</v>
      </c>
      <c r="E88" s="2959">
        <v>0.1</v>
      </c>
      <c r="F88" s="2958">
        <v>15</v>
      </c>
    </row>
    <row r="89" spans="1:6" s="757" customFormat="1" ht="24">
      <c r="A89" s="2958">
        <v>17</v>
      </c>
      <c r="B89" s="3320"/>
      <c r="C89" s="2938" t="s">
        <v>3064</v>
      </c>
      <c r="D89" s="2938" t="s">
        <v>3065</v>
      </c>
      <c r="E89" s="2959">
        <v>0.1</v>
      </c>
      <c r="F89" s="2958">
        <v>15</v>
      </c>
    </row>
    <row r="90" spans="1:6" s="757" customFormat="1" ht="13.5">
      <c r="A90" s="2958">
        <v>18</v>
      </c>
      <c r="B90" s="3316" t="s">
        <v>3066</v>
      </c>
      <c r="C90" s="2938" t="s">
        <v>3067</v>
      </c>
      <c r="D90" s="2938" t="s">
        <v>3068</v>
      </c>
      <c r="E90" s="2959">
        <v>0.2</v>
      </c>
      <c r="F90" s="2958">
        <v>25</v>
      </c>
    </row>
    <row r="91" spans="1:6" s="757" customFormat="1" ht="24">
      <c r="A91" s="2958">
        <v>19</v>
      </c>
      <c r="B91" s="3311"/>
      <c r="C91" s="2938" t="s">
        <v>3069</v>
      </c>
      <c r="D91" s="2938" t="s">
        <v>3070</v>
      </c>
      <c r="E91" s="2959">
        <v>0.2</v>
      </c>
      <c r="F91" s="2958">
        <v>25</v>
      </c>
    </row>
    <row r="92" spans="1:6" s="757" customFormat="1" ht="13.5">
      <c r="A92" s="2958">
        <v>20</v>
      </c>
      <c r="B92" s="3311"/>
      <c r="C92" s="2938" t="s">
        <v>3071</v>
      </c>
      <c r="D92" s="2938" t="s">
        <v>3072</v>
      </c>
      <c r="E92" s="2959">
        <v>0.15</v>
      </c>
      <c r="F92" s="2958">
        <v>20</v>
      </c>
    </row>
    <row r="93" spans="1:6" s="757" customFormat="1" ht="24">
      <c r="A93" s="2958">
        <v>21</v>
      </c>
      <c r="B93" s="3311"/>
      <c r="C93" s="2938" t="s">
        <v>3073</v>
      </c>
      <c r="D93" s="2938" t="s">
        <v>3074</v>
      </c>
      <c r="E93" s="2959">
        <v>0.15</v>
      </c>
      <c r="F93" s="2958">
        <v>20</v>
      </c>
    </row>
    <row r="94" spans="1:6" s="757" customFormat="1" ht="24">
      <c r="A94" s="2958">
        <v>22</v>
      </c>
      <c r="B94" s="3311"/>
      <c r="C94" s="2938" t="s">
        <v>3075</v>
      </c>
      <c r="D94" s="2938" t="s">
        <v>3076</v>
      </c>
      <c r="E94" s="2959">
        <v>0.15</v>
      </c>
      <c r="F94" s="2958">
        <v>20</v>
      </c>
    </row>
    <row r="95" spans="1:6" s="757" customFormat="1" ht="36">
      <c r="A95" s="2958">
        <v>23</v>
      </c>
      <c r="B95" s="3311"/>
      <c r="C95" s="2938" t="s">
        <v>3077</v>
      </c>
      <c r="D95" s="2938" t="s">
        <v>3078</v>
      </c>
      <c r="E95" s="2959">
        <v>0.15</v>
      </c>
      <c r="F95" s="2958">
        <v>20</v>
      </c>
    </row>
    <row r="96" spans="1:6" s="757" customFormat="1" ht="13.5">
      <c r="A96" s="2958">
        <v>24</v>
      </c>
      <c r="B96" s="3311"/>
      <c r="C96" s="2938" t="s">
        <v>3079</v>
      </c>
      <c r="D96" s="2938" t="s">
        <v>3080</v>
      </c>
      <c r="E96" s="2959">
        <v>0.1</v>
      </c>
      <c r="F96" s="2958">
        <v>15</v>
      </c>
    </row>
    <row r="97" spans="1:6" s="757" customFormat="1" ht="24">
      <c r="A97" s="2958">
        <v>25</v>
      </c>
      <c r="B97" s="3311"/>
      <c r="C97" s="2938" t="s">
        <v>3081</v>
      </c>
      <c r="D97" s="2938" t="s">
        <v>3082</v>
      </c>
      <c r="E97" s="2959">
        <v>0.1</v>
      </c>
      <c r="F97" s="2958">
        <v>15</v>
      </c>
    </row>
    <row r="98" spans="1:6" s="757" customFormat="1" ht="24">
      <c r="A98" s="2958">
        <v>26</v>
      </c>
      <c r="B98" s="3311"/>
      <c r="C98" s="2938" t="s">
        <v>3083</v>
      </c>
      <c r="D98" s="2938" t="s">
        <v>3084</v>
      </c>
      <c r="E98" s="2959">
        <v>0.1</v>
      </c>
      <c r="F98" s="2958">
        <v>15</v>
      </c>
    </row>
    <row r="99" spans="1:6" s="757" customFormat="1" ht="24">
      <c r="A99" s="2958">
        <v>27</v>
      </c>
      <c r="B99" s="3311"/>
      <c r="C99" s="2938" t="s">
        <v>3085</v>
      </c>
      <c r="D99" s="2938" t="s">
        <v>3086</v>
      </c>
      <c r="E99" s="2959">
        <v>0.1</v>
      </c>
      <c r="F99" s="2958">
        <v>15</v>
      </c>
    </row>
    <row r="100" spans="1:6" s="757" customFormat="1" ht="24">
      <c r="A100" s="2958">
        <v>28</v>
      </c>
      <c r="B100" s="3311"/>
      <c r="C100" s="2938" t="s">
        <v>3087</v>
      </c>
      <c r="D100" s="2938" t="s">
        <v>3088</v>
      </c>
      <c r="E100" s="2959">
        <v>0.1</v>
      </c>
      <c r="F100" s="2958">
        <v>15</v>
      </c>
    </row>
    <row r="101" spans="1:6" s="757" customFormat="1" ht="24">
      <c r="A101" s="2958">
        <v>29</v>
      </c>
      <c r="B101" s="3311"/>
      <c r="C101" s="2938" t="s">
        <v>3089</v>
      </c>
      <c r="D101" s="2938" t="s">
        <v>3090</v>
      </c>
      <c r="E101" s="2959">
        <v>0.1</v>
      </c>
      <c r="F101" s="2958">
        <v>15</v>
      </c>
    </row>
    <row r="102" spans="1:6" s="757" customFormat="1" ht="24">
      <c r="A102" s="2958">
        <v>30</v>
      </c>
      <c r="B102" s="3311"/>
      <c r="C102" s="2938" t="s">
        <v>3091</v>
      </c>
      <c r="D102" s="2938" t="s">
        <v>3092</v>
      </c>
      <c r="E102" s="2959">
        <v>0.1</v>
      </c>
      <c r="F102" s="2958">
        <v>15</v>
      </c>
    </row>
    <row r="103" spans="1:6" s="757" customFormat="1" ht="24">
      <c r="A103" s="2958">
        <v>31</v>
      </c>
      <c r="B103" s="3311"/>
      <c r="C103" s="2938" t="s">
        <v>3093</v>
      </c>
      <c r="D103" s="2938" t="s">
        <v>3094</v>
      </c>
      <c r="E103" s="2959">
        <v>0.1</v>
      </c>
      <c r="F103" s="2958">
        <v>15</v>
      </c>
    </row>
    <row r="104" spans="1:6" s="757" customFormat="1" ht="24">
      <c r="A104" s="2958">
        <v>32</v>
      </c>
      <c r="B104" s="3311"/>
      <c r="C104" s="2938" t="s">
        <v>3095</v>
      </c>
      <c r="D104" s="2938" t="s">
        <v>3096</v>
      </c>
      <c r="E104" s="2959">
        <v>0.1</v>
      </c>
      <c r="F104" s="2958">
        <v>15</v>
      </c>
    </row>
    <row r="105" spans="1:6" s="757" customFormat="1" ht="24">
      <c r="A105" s="2958">
        <v>33</v>
      </c>
      <c r="B105" s="3311"/>
      <c r="C105" s="2938" t="s">
        <v>3097</v>
      </c>
      <c r="D105" s="2938" t="s">
        <v>3098</v>
      </c>
      <c r="E105" s="2959">
        <v>0.1</v>
      </c>
      <c r="F105" s="2958">
        <v>15</v>
      </c>
    </row>
    <row r="106" spans="1:6" s="757" customFormat="1" ht="24">
      <c r="A106" s="2958">
        <v>34</v>
      </c>
      <c r="B106" s="3320"/>
      <c r="C106" s="2938" t="s">
        <v>3099</v>
      </c>
      <c r="D106" s="2938" t="s">
        <v>3100</v>
      </c>
      <c r="E106" s="2959">
        <v>0.1</v>
      </c>
      <c r="F106" s="2958">
        <v>15</v>
      </c>
    </row>
    <row r="107" spans="1:6" s="757" customFormat="1" ht="24">
      <c r="A107" s="2958">
        <v>35</v>
      </c>
      <c r="B107" s="3316" t="s">
        <v>3101</v>
      </c>
      <c r="C107" s="2958" t="s">
        <v>3102</v>
      </c>
      <c r="D107" s="2938" t="s">
        <v>3103</v>
      </c>
      <c r="E107" s="2959">
        <v>0.15</v>
      </c>
      <c r="F107" s="2958">
        <v>20</v>
      </c>
    </row>
    <row r="108" spans="1:6" s="757" customFormat="1" ht="24">
      <c r="A108" s="2958">
        <v>36</v>
      </c>
      <c r="B108" s="3311"/>
      <c r="C108" s="2958" t="s">
        <v>3104</v>
      </c>
      <c r="D108" s="2938" t="s">
        <v>3105</v>
      </c>
      <c r="E108" s="2959">
        <v>0.15</v>
      </c>
      <c r="F108" s="2958">
        <v>20</v>
      </c>
    </row>
    <row r="109" spans="1:6" s="757" customFormat="1" ht="24">
      <c r="A109" s="2958">
        <v>37</v>
      </c>
      <c r="B109" s="3311"/>
      <c r="C109" s="2958" t="s">
        <v>3106</v>
      </c>
      <c r="D109" s="2938" t="s">
        <v>3107</v>
      </c>
      <c r="E109" s="2959">
        <v>0.15</v>
      </c>
      <c r="F109" s="2958">
        <v>20</v>
      </c>
    </row>
    <row r="110" spans="1:6" s="757" customFormat="1" ht="13.5">
      <c r="A110" s="2958">
        <v>38</v>
      </c>
      <c r="B110" s="3311"/>
      <c r="C110" s="2958" t="s">
        <v>3108</v>
      </c>
      <c r="D110" s="2938" t="s">
        <v>3109</v>
      </c>
      <c r="E110" s="2959">
        <v>0.1</v>
      </c>
      <c r="F110" s="2958">
        <v>15</v>
      </c>
    </row>
    <row r="111" spans="1:6" s="757" customFormat="1" ht="24">
      <c r="A111" s="2958">
        <v>39</v>
      </c>
      <c r="B111" s="3311"/>
      <c r="C111" s="2958" t="s">
        <v>3110</v>
      </c>
      <c r="D111" s="2938" t="s">
        <v>3111</v>
      </c>
      <c r="E111" s="2959">
        <v>0.1</v>
      </c>
      <c r="F111" s="2958">
        <v>15</v>
      </c>
    </row>
    <row r="112" spans="1:6" s="757" customFormat="1" ht="24">
      <c r="A112" s="2958">
        <v>40</v>
      </c>
      <c r="B112" s="3320"/>
      <c r="C112" s="2958" t="s">
        <v>3112</v>
      </c>
      <c r="D112" s="2938" t="s">
        <v>3113</v>
      </c>
      <c r="E112" s="2959">
        <v>0.1</v>
      </c>
      <c r="F112" s="2958">
        <v>15</v>
      </c>
    </row>
    <row r="113" spans="1:6" s="757" customFormat="1" ht="24">
      <c r="A113" s="2958">
        <v>41</v>
      </c>
      <c r="B113" s="3321" t="s">
        <v>3114</v>
      </c>
      <c r="C113" s="2958" t="s">
        <v>3115</v>
      </c>
      <c r="D113" s="2938" t="s">
        <v>3116</v>
      </c>
      <c r="E113" s="2959">
        <v>0.1</v>
      </c>
      <c r="F113" s="2958">
        <v>15</v>
      </c>
    </row>
    <row r="114" spans="1:6" s="757" customFormat="1" ht="13.5">
      <c r="A114" s="2958">
        <v>42</v>
      </c>
      <c r="B114" s="3321"/>
      <c r="C114" s="2958" t="s">
        <v>3117</v>
      </c>
      <c r="D114" s="2938" t="s">
        <v>3118</v>
      </c>
      <c r="E114" s="2959">
        <v>0.1</v>
      </c>
      <c r="F114" s="2958">
        <v>15</v>
      </c>
    </row>
    <row r="115" spans="1:6" s="757" customFormat="1" ht="24">
      <c r="A115" s="2958">
        <v>43</v>
      </c>
      <c r="B115" s="3321"/>
      <c r="C115" s="2958" t="s">
        <v>3119</v>
      </c>
      <c r="D115" s="2938" t="s">
        <v>3120</v>
      </c>
      <c r="E115" s="2959">
        <v>0.1</v>
      </c>
      <c r="F115" s="2958">
        <v>15</v>
      </c>
    </row>
    <row r="116" spans="1:6" s="757" customFormat="1" ht="24">
      <c r="A116" s="2958">
        <v>44</v>
      </c>
      <c r="B116" s="3316" t="s">
        <v>3121</v>
      </c>
      <c r="C116" s="2958" t="s">
        <v>3122</v>
      </c>
      <c r="D116" s="2938" t="s">
        <v>3123</v>
      </c>
      <c r="E116" s="2959">
        <v>0.1</v>
      </c>
      <c r="F116" s="2958">
        <v>15</v>
      </c>
    </row>
    <row r="117" spans="1:6" s="757" customFormat="1" ht="24">
      <c r="A117" s="2958">
        <v>45</v>
      </c>
      <c r="B117" s="3320"/>
      <c r="C117" s="2938" t="s">
        <v>3124</v>
      </c>
      <c r="D117" s="2938" t="s">
        <v>3125</v>
      </c>
      <c r="E117" s="2959">
        <v>0.1</v>
      </c>
      <c r="F117" s="2958">
        <v>15</v>
      </c>
    </row>
    <row r="118" spans="1:6" s="757" customFormat="1" ht="24">
      <c r="A118" s="2958">
        <v>46</v>
      </c>
      <c r="B118" s="3316" t="s">
        <v>3126</v>
      </c>
      <c r="C118" s="2958" t="s">
        <v>3127</v>
      </c>
      <c r="D118" s="2938" t="s">
        <v>3128</v>
      </c>
      <c r="E118" s="2959">
        <v>0.1</v>
      </c>
      <c r="F118" s="2958">
        <v>15</v>
      </c>
    </row>
    <row r="119" spans="1:6" s="757" customFormat="1" ht="24">
      <c r="A119" s="2958">
        <v>47</v>
      </c>
      <c r="B119" s="3320"/>
      <c r="C119" s="2958" t="s">
        <v>3129</v>
      </c>
      <c r="D119" s="2938" t="s">
        <v>3130</v>
      </c>
      <c r="E119" s="2959">
        <v>0.1</v>
      </c>
      <c r="F119" s="2958">
        <v>15</v>
      </c>
    </row>
    <row r="120" spans="1:6" s="757" customFormat="1" ht="24">
      <c r="A120" s="2958">
        <v>48</v>
      </c>
      <c r="B120" s="3316" t="s">
        <v>3131</v>
      </c>
      <c r="C120" s="2958" t="s">
        <v>3132</v>
      </c>
      <c r="D120" s="2938" t="s">
        <v>3133</v>
      </c>
      <c r="E120" s="2959">
        <v>0.1</v>
      </c>
      <c r="F120" s="2958">
        <v>15</v>
      </c>
    </row>
    <row r="121" spans="1:6" s="757" customFormat="1" ht="13.5">
      <c r="A121" s="2958">
        <v>49</v>
      </c>
      <c r="B121" s="3320"/>
      <c r="C121" s="2958" t="s">
        <v>3134</v>
      </c>
      <c r="D121" s="2938" t="s">
        <v>3135</v>
      </c>
      <c r="E121" s="2959">
        <v>0.1</v>
      </c>
      <c r="F121" s="2958">
        <v>15</v>
      </c>
    </row>
    <row r="122" spans="1:6" s="757" customFormat="1" ht="24">
      <c r="A122" s="2958">
        <v>50</v>
      </c>
      <c r="B122" s="3321" t="s">
        <v>3136</v>
      </c>
      <c r="C122" s="2958" t="s">
        <v>3137</v>
      </c>
      <c r="D122" s="2938" t="s">
        <v>3138</v>
      </c>
      <c r="E122" s="2959">
        <v>0.1</v>
      </c>
      <c r="F122" s="2958">
        <v>15</v>
      </c>
    </row>
    <row r="123" spans="1:6" s="757" customFormat="1" ht="24">
      <c r="A123" s="2958">
        <v>51</v>
      </c>
      <c r="B123" s="3321"/>
      <c r="C123" s="2958" t="s">
        <v>3139</v>
      </c>
      <c r="D123" s="2938" t="s">
        <v>3140</v>
      </c>
      <c r="E123" s="2959">
        <v>0.1</v>
      </c>
      <c r="F123" s="2958">
        <v>15</v>
      </c>
    </row>
    <row r="124" spans="1:6" s="757" customFormat="1" ht="24">
      <c r="A124" s="2958">
        <v>52</v>
      </c>
      <c r="B124" s="3321" t="s">
        <v>3141</v>
      </c>
      <c r="C124" s="2958" t="s">
        <v>3142</v>
      </c>
      <c r="D124" s="2938" t="s">
        <v>3143</v>
      </c>
      <c r="E124" s="2959">
        <v>0.1</v>
      </c>
      <c r="F124" s="2958">
        <v>15</v>
      </c>
    </row>
    <row r="125" spans="1:6" s="757" customFormat="1" ht="24">
      <c r="A125" s="2958">
        <v>53</v>
      </c>
      <c r="B125" s="3321"/>
      <c r="C125" s="2958" t="s">
        <v>3144</v>
      </c>
      <c r="D125" s="2938" t="s">
        <v>3145</v>
      </c>
      <c r="E125" s="2959">
        <v>0.1</v>
      </c>
      <c r="F125" s="2958">
        <v>15</v>
      </c>
    </row>
    <row r="126" spans="1:6" ht="24">
      <c r="A126" s="2958">
        <v>54</v>
      </c>
      <c r="B126" s="2958" t="s">
        <v>3146</v>
      </c>
      <c r="C126" s="2958" t="s">
        <v>3147</v>
      </c>
      <c r="D126" s="2938" t="s">
        <v>3148</v>
      </c>
      <c r="E126" s="2959">
        <v>0.1</v>
      </c>
      <c r="F126" s="2958">
        <v>15</v>
      </c>
    </row>
    <row r="127" spans="1:6" ht="13.5">
      <c r="A127" s="2958">
        <v>55</v>
      </c>
      <c r="B127" s="3321" t="s">
        <v>3149</v>
      </c>
      <c r="C127" s="2958" t="s">
        <v>3150</v>
      </c>
      <c r="D127" s="2938" t="s">
        <v>3151</v>
      </c>
      <c r="E127" s="2959">
        <v>0.1</v>
      </c>
      <c r="F127" s="2958">
        <v>15</v>
      </c>
    </row>
    <row r="128" spans="1:6" ht="13.5">
      <c r="A128" s="2958">
        <v>56</v>
      </c>
      <c r="B128" s="3321"/>
      <c r="C128" s="2958" t="s">
        <v>3152</v>
      </c>
      <c r="D128" s="2938" t="s">
        <v>3153</v>
      </c>
      <c r="E128" s="2959">
        <v>0.1</v>
      </c>
      <c r="F128" s="2958">
        <v>15</v>
      </c>
    </row>
    <row r="129" spans="1:6" ht="24">
      <c r="A129" s="2958">
        <v>57</v>
      </c>
      <c r="B129" s="3321"/>
      <c r="C129" s="2958" t="s">
        <v>3154</v>
      </c>
      <c r="D129" s="2938" t="s">
        <v>3155</v>
      </c>
      <c r="E129" s="2959">
        <v>0.1</v>
      </c>
      <c r="F129" s="2958">
        <v>15</v>
      </c>
    </row>
    <row r="130" spans="1:6" ht="24">
      <c r="A130" s="2958">
        <v>58</v>
      </c>
      <c r="B130" s="3321" t="s">
        <v>3156</v>
      </c>
      <c r="C130" s="2958" t="s">
        <v>3157</v>
      </c>
      <c r="D130" s="2938" t="s">
        <v>3158</v>
      </c>
      <c r="E130" s="2959">
        <v>0.1</v>
      </c>
      <c r="F130" s="2958">
        <v>15</v>
      </c>
    </row>
    <row r="131" spans="1:6" ht="24">
      <c r="A131" s="2958">
        <v>59</v>
      </c>
      <c r="B131" s="3321"/>
      <c r="C131" s="2958" t="s">
        <v>3159</v>
      </c>
      <c r="D131" s="2938" t="s">
        <v>3160</v>
      </c>
      <c r="E131" s="2959">
        <v>0.1</v>
      </c>
      <c r="F131" s="2958">
        <v>15</v>
      </c>
    </row>
    <row r="132" spans="1:6" ht="24">
      <c r="A132" s="2958">
        <v>60</v>
      </c>
      <c r="B132" s="3316" t="s">
        <v>3161</v>
      </c>
      <c r="C132" s="2958" t="s">
        <v>3162</v>
      </c>
      <c r="D132" s="2938" t="s">
        <v>3163</v>
      </c>
      <c r="E132" s="2959">
        <v>0.1</v>
      </c>
      <c r="F132" s="2958">
        <v>15</v>
      </c>
    </row>
    <row r="133" spans="1:6" ht="24">
      <c r="A133" s="2958">
        <v>61</v>
      </c>
      <c r="B133" s="3320"/>
      <c r="C133" s="2958" t="s">
        <v>3164</v>
      </c>
      <c r="D133" s="2938" t="s">
        <v>3165</v>
      </c>
      <c r="E133" s="2959">
        <v>0.1</v>
      </c>
      <c r="F133" s="2958">
        <v>15</v>
      </c>
    </row>
    <row r="134" spans="1:6" ht="24">
      <c r="A134" s="2958">
        <v>62</v>
      </c>
      <c r="B134" s="2958" t="s">
        <v>3166</v>
      </c>
      <c r="C134" s="2958" t="s">
        <v>3167</v>
      </c>
      <c r="D134" s="2938" t="s">
        <v>3168</v>
      </c>
      <c r="E134" s="2959">
        <v>0.1</v>
      </c>
      <c r="F134" s="2958">
        <v>15</v>
      </c>
    </row>
    <row r="135" spans="1:6" ht="24">
      <c r="A135" s="2958">
        <v>63</v>
      </c>
      <c r="B135" s="3321" t="s">
        <v>3169</v>
      </c>
      <c r="C135" s="2958" t="s">
        <v>3170</v>
      </c>
      <c r="D135" s="2938" t="s">
        <v>3171</v>
      </c>
      <c r="E135" s="2959">
        <v>0.1</v>
      </c>
      <c r="F135" s="2958">
        <v>15</v>
      </c>
    </row>
    <row r="136" spans="1:6" ht="13.5">
      <c r="A136" s="2958">
        <v>64</v>
      </c>
      <c r="B136" s="3321"/>
      <c r="C136" s="2958" t="s">
        <v>3172</v>
      </c>
      <c r="D136" s="2938" t="s">
        <v>3173</v>
      </c>
      <c r="E136" s="2959">
        <v>0.1</v>
      </c>
      <c r="F136" s="2958">
        <v>15</v>
      </c>
    </row>
    <row r="137" spans="1:6" ht="24">
      <c r="A137" s="2958">
        <v>65</v>
      </c>
      <c r="B137" s="2958" t="s">
        <v>3174</v>
      </c>
      <c r="C137" s="2958" t="s">
        <v>3175</v>
      </c>
      <c r="D137" s="2938" t="s">
        <v>3176</v>
      </c>
      <c r="E137" s="2959">
        <v>0.1</v>
      </c>
      <c r="F137" s="2958">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2582</v>
      </c>
      <c r="B1" s="7"/>
      <c r="C1" s="7"/>
      <c r="D1" s="7"/>
      <c r="E1" s="7"/>
      <c r="F1" s="2711"/>
      <c r="G1" s="2711"/>
      <c r="H1" s="2711"/>
      <c r="I1" s="2711"/>
      <c r="J1" s="2711"/>
      <c r="K1" s="2711"/>
      <c r="L1" s="2711"/>
      <c r="M1" s="2711"/>
      <c r="N1" s="2711"/>
      <c r="O1" s="2711"/>
      <c r="P1" s="2711"/>
    </row>
    <row r="2" spans="1:16" ht="15.75">
      <c r="A2" s="2139" t="s">
        <v>2574</v>
      </c>
      <c r="B2" s="2553" t="e">
        <f ca="1">SUMIF(B6:B13,"&lt;&gt;#ref!",B6:B13)</f>
        <v>#DIV/0!</v>
      </c>
      <c r="C2" s="2139" t="s">
        <v>2575</v>
      </c>
      <c r="D2" s="2139" t="s">
        <v>2576</v>
      </c>
      <c r="E2" s="2563">
        <f ca="1">SUMIF(E6:E13,"&lt;&gt;#ref!",E6:E13)</f>
        <v>0</v>
      </c>
      <c r="F2" s="2711"/>
      <c r="G2" s="2711"/>
      <c r="H2" s="2711"/>
      <c r="I2" s="2711"/>
      <c r="J2" s="2711"/>
      <c r="K2" s="2711"/>
      <c r="L2" s="2711"/>
      <c r="M2" s="2711"/>
      <c r="N2" s="2711"/>
      <c r="O2" s="2711"/>
      <c r="P2" s="2711"/>
    </row>
    <row r="3" spans="1:16" ht="15.75">
      <c r="A3" s="2139" t="s">
        <v>2577</v>
      </c>
      <c r="B3" s="2553" t="e">
        <f ca="1">ROUND(B2*10000/E2,0)</f>
        <v>#DIV/0!</v>
      </c>
      <c r="C3" s="2139" t="s">
        <v>2583</v>
      </c>
      <c r="D3" s="2711"/>
      <c r="E3" s="2711"/>
      <c r="F3" s="2711"/>
      <c r="G3" s="2711"/>
      <c r="H3" s="2711"/>
      <c r="I3" s="2711"/>
      <c r="J3" s="2711"/>
      <c r="K3" s="2711"/>
      <c r="L3" s="2711"/>
      <c r="M3" s="2711"/>
      <c r="N3" s="2711"/>
      <c r="O3" s="2711"/>
      <c r="P3" s="2711"/>
    </row>
    <row r="4" spans="1:16" ht="15.75">
      <c r="A4" s="2725"/>
      <c r="B4" s="2711"/>
      <c r="C4" s="2711"/>
      <c r="D4" s="2711"/>
      <c r="E4" s="2711"/>
      <c r="F4" s="2711"/>
      <c r="G4" s="2711"/>
      <c r="H4" s="2711"/>
      <c r="I4" s="2711"/>
      <c r="J4" s="2711"/>
      <c r="K4" s="2711"/>
      <c r="L4" s="2711"/>
      <c r="M4" s="2711"/>
      <c r="N4" s="2711"/>
      <c r="O4" s="2711"/>
      <c r="P4" s="2711"/>
    </row>
    <row r="5" spans="1:16" ht="28.5">
      <c r="A5" s="2559" t="s">
        <v>2578</v>
      </c>
      <c r="B5" s="2561" t="s">
        <v>2579</v>
      </c>
      <c r="C5" s="2140"/>
      <c r="D5" s="2711"/>
      <c r="E5" s="2562" t="s">
        <v>2580</v>
      </c>
      <c r="F5" s="2711"/>
      <c r="G5" s="2711"/>
      <c r="H5" s="2711"/>
      <c r="I5" s="2711"/>
      <c r="J5" s="2711"/>
      <c r="K5" s="2711"/>
      <c r="L5" s="2711"/>
      <c r="M5" s="2711"/>
      <c r="N5" s="2711"/>
      <c r="O5" s="2711"/>
      <c r="P5" s="2711"/>
    </row>
    <row r="6" spans="1:16" ht="15.75">
      <c r="A6" s="2560" t="s">
        <v>2581</v>
      </c>
      <c r="B6" s="2553" t="e">
        <f ca="1">SUMIF(INDIRECT("'"&amp;A6&amp;"'"&amp;"!A:A"),"总价",INDIRECT("'"&amp;A6&amp;"'"&amp;"!B:B"))</f>
        <v>#DIV/0!</v>
      </c>
      <c r="C6" s="2139" t="s">
        <v>2575</v>
      </c>
      <c r="D6" s="2711"/>
      <c r="E6" s="2563">
        <f ca="1">SUMIF(INDIRECT("'"&amp;A6&amp;"'"&amp;"!C:C"),"建筑面积",INDIRECT("'"&amp;A6&amp;"'"&amp;"!D:D"))</f>
        <v>0</v>
      </c>
      <c r="F6" s="2711"/>
      <c r="G6" s="2711"/>
      <c r="H6" s="2711"/>
      <c r="I6" s="2711"/>
      <c r="J6" s="2711"/>
      <c r="K6" s="2711"/>
      <c r="L6" s="2711"/>
      <c r="M6" s="2711"/>
      <c r="N6" s="2711"/>
      <c r="O6" s="2711"/>
      <c r="P6" s="2711"/>
    </row>
    <row r="7" spans="1:16" ht="15.75">
      <c r="A7" s="2560"/>
      <c r="B7" s="2553" t="e">
        <f ca="1">SUMIF(INDIRECT("'"&amp;A7&amp;"'"&amp;"!A:A"),"总价",INDIRECT("'"&amp;A7&amp;"'"&amp;"!B:B"))</f>
        <v>#REF!</v>
      </c>
      <c r="C7" s="2139" t="s">
        <v>2575</v>
      </c>
      <c r="D7" s="2711"/>
      <c r="E7" s="2563" t="e">
        <f t="shared" ref="E7:E13" ca="1" si="0">SUMIF(INDIRECT("'"&amp;A7&amp;"'"&amp;"!C:C"),"建筑面积",INDIRECT("'"&amp;A7&amp;"'"&amp;"!D:D"))</f>
        <v>#REF!</v>
      </c>
      <c r="F7" s="2711"/>
      <c r="G7" s="2711"/>
      <c r="H7" s="2711"/>
      <c r="I7" s="2711"/>
      <c r="J7" s="2711"/>
      <c r="K7" s="2711"/>
      <c r="L7" s="2711"/>
      <c r="M7" s="2711"/>
      <c r="N7" s="2711"/>
      <c r="O7" s="2711"/>
      <c r="P7" s="2711"/>
    </row>
    <row r="8" spans="1:16" ht="15.75">
      <c r="A8" s="2560"/>
      <c r="B8" s="2553" t="e">
        <f t="shared" ref="B8:B13" ca="1" si="1">SUMIF(INDIRECT("'"&amp;A8&amp;"'"&amp;"!A:A"),"总价",INDIRECT("'"&amp;A8&amp;"'"&amp;"!B:B"))</f>
        <v>#REF!</v>
      </c>
      <c r="C8" s="2139" t="s">
        <v>2575</v>
      </c>
      <c r="D8" s="2711"/>
      <c r="E8" s="2563" t="e">
        <f t="shared" ca="1" si="0"/>
        <v>#REF!</v>
      </c>
      <c r="F8" s="2711"/>
      <c r="G8" s="2711"/>
      <c r="H8" s="2711"/>
      <c r="I8" s="2711"/>
      <c r="J8" s="2711"/>
      <c r="K8" s="2711"/>
      <c r="L8" s="2711"/>
      <c r="M8" s="2711"/>
      <c r="N8" s="2711"/>
      <c r="O8" s="2711"/>
      <c r="P8" s="2711"/>
    </row>
    <row r="9" spans="1:16" ht="15.75">
      <c r="A9" s="2560"/>
      <c r="B9" s="2553" t="e">
        <f t="shared" ca="1" si="1"/>
        <v>#REF!</v>
      </c>
      <c r="C9" s="2139" t="s">
        <v>2575</v>
      </c>
      <c r="D9" s="2711"/>
      <c r="E9" s="2563" t="e">
        <f t="shared" ca="1" si="0"/>
        <v>#REF!</v>
      </c>
      <c r="F9" s="2711"/>
      <c r="G9" s="2711"/>
      <c r="H9" s="2711"/>
      <c r="I9" s="2711"/>
      <c r="J9" s="2711"/>
      <c r="K9" s="2711"/>
      <c r="L9" s="2711"/>
      <c r="M9" s="2711"/>
      <c r="N9" s="2711"/>
      <c r="O9" s="2711"/>
      <c r="P9" s="2711"/>
    </row>
    <row r="10" spans="1:16" ht="15.75">
      <c r="A10" s="2560"/>
      <c r="B10" s="2553" t="e">
        <f t="shared" ca="1" si="1"/>
        <v>#REF!</v>
      </c>
      <c r="C10" s="2139" t="s">
        <v>2575</v>
      </c>
      <c r="D10" s="2711"/>
      <c r="E10" s="2563" t="e">
        <f t="shared" ca="1" si="0"/>
        <v>#REF!</v>
      </c>
      <c r="F10" s="2711"/>
      <c r="G10" s="2711"/>
      <c r="H10" s="2711"/>
      <c r="I10" s="2711"/>
      <c r="J10" s="2711"/>
      <c r="K10" s="2711"/>
      <c r="L10" s="2711"/>
      <c r="M10" s="2711"/>
      <c r="N10" s="2711"/>
      <c r="O10" s="2711"/>
      <c r="P10" s="2711"/>
    </row>
    <row r="11" spans="1:16" ht="15.75">
      <c r="A11" s="2560"/>
      <c r="B11" s="2553" t="e">
        <f t="shared" ca="1" si="1"/>
        <v>#REF!</v>
      </c>
      <c r="C11" s="2139" t="s">
        <v>2575</v>
      </c>
      <c r="D11" s="2711"/>
      <c r="E11" s="2563" t="e">
        <f t="shared" ca="1" si="0"/>
        <v>#REF!</v>
      </c>
      <c r="F11" s="2711"/>
      <c r="G11" s="2711"/>
      <c r="H11" s="2711"/>
      <c r="I11" s="2711"/>
      <c r="J11" s="2711"/>
      <c r="K11" s="2711"/>
      <c r="L11" s="2711"/>
      <c r="M11" s="2711"/>
      <c r="N11" s="2711"/>
      <c r="O11" s="2711"/>
      <c r="P11" s="2711"/>
    </row>
    <row r="12" spans="1:16" ht="15.75">
      <c r="A12" s="2560"/>
      <c r="B12" s="2553" t="e">
        <f t="shared" ca="1" si="1"/>
        <v>#REF!</v>
      </c>
      <c r="C12" s="2139" t="s">
        <v>2575</v>
      </c>
      <c r="D12" s="2711"/>
      <c r="E12" s="2563" t="e">
        <f t="shared" ca="1" si="0"/>
        <v>#REF!</v>
      </c>
      <c r="F12" s="2711"/>
      <c r="G12" s="2711"/>
      <c r="H12" s="2711"/>
      <c r="I12" s="2711"/>
      <c r="J12" s="2711"/>
      <c r="K12" s="2711"/>
      <c r="L12" s="2711"/>
      <c r="M12" s="2711"/>
      <c r="N12" s="2711"/>
      <c r="O12" s="2711"/>
      <c r="P12" s="2711"/>
    </row>
    <row r="13" spans="1:16" ht="15.75">
      <c r="A13" s="2560"/>
      <c r="B13" s="2553" t="e">
        <f t="shared" ca="1" si="1"/>
        <v>#REF!</v>
      </c>
      <c r="C13" s="2139" t="s">
        <v>2575</v>
      </c>
      <c r="D13" s="2711"/>
      <c r="E13" s="2563"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125" style="2184" customWidth="1"/>
    <col min="14" max="14" width="9" style="2218" customWidth="1"/>
    <col min="15" max="17" width="9" style="2184" customWidth="1"/>
    <col min="18" max="18" width="2.375" style="2184" customWidth="1"/>
    <col min="19" max="19" width="7.125" style="2218" customWidth="1"/>
    <col min="20" max="22" width="7.125" style="2184" customWidth="1"/>
    <col min="23" max="23" width="24.1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327" t="s">
        <v>877</v>
      </c>
      <c r="C1" s="3327"/>
      <c r="D1" s="3327"/>
      <c r="E1" s="3327"/>
      <c r="F1" s="3327"/>
      <c r="G1" s="3323" t="s">
        <v>878</v>
      </c>
      <c r="H1" s="3323"/>
      <c r="I1" s="3323"/>
      <c r="J1" s="3323"/>
      <c r="K1" s="3323"/>
      <c r="L1" s="3323"/>
      <c r="N1" s="3323" t="s">
        <v>879</v>
      </c>
      <c r="O1" s="3323"/>
      <c r="P1" s="3323"/>
      <c r="Q1" s="3323"/>
      <c r="S1" s="3323" t="s">
        <v>880</v>
      </c>
      <c r="T1" s="3323"/>
      <c r="U1" s="3323"/>
      <c r="V1" s="3323"/>
      <c r="X1" s="3322" t="s">
        <v>881</v>
      </c>
      <c r="Y1" s="3323"/>
      <c r="Z1" s="3323"/>
      <c r="AA1" s="3323"/>
      <c r="AB1" s="3323"/>
      <c r="AD1" s="3322" t="s">
        <v>882</v>
      </c>
      <c r="AE1" s="3323"/>
      <c r="AF1" s="3323"/>
      <c r="AG1" s="3323"/>
      <c r="AH1" s="3323"/>
    </row>
    <row r="2" spans="1:34" s="2167" customFormat="1" ht="14.2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2615</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c r="A5" s="2186" t="s">
        <v>2944</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2616</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c r="A6" s="2197" t="s">
        <v>2943</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c r="A7" s="2197" t="s">
        <v>2820</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c r="A8" s="2197" t="s">
        <v>2819</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c r="A9" s="2197" t="s">
        <v>2818</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c r="A10" s="2197" t="s">
        <v>2815</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c r="A11" s="2197" t="s">
        <v>2814</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c r="A12" s="2197" t="s">
        <v>2632</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c r="A13" s="2197" t="s">
        <v>2630</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c r="A14" s="2197" t="s">
        <v>2629</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2628</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c r="A16" s="2197" t="s">
        <v>2626</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2624</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c r="A18" s="2197" t="s">
        <v>2627</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325">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45" customHeight="1">
      <c r="A19" s="2197" t="s">
        <v>2622</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325"/>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45" customHeight="1">
      <c r="A20" s="2197" t="s">
        <v>2621</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325"/>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2614</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332"/>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c r="A22" s="2197" t="s">
        <v>2612</v>
      </c>
      <c r="B22" s="2206">
        <v>439</v>
      </c>
      <c r="C22" s="2206">
        <v>327</v>
      </c>
      <c r="D22" s="2206">
        <f>C22</f>
        <v>327</v>
      </c>
      <c r="E22" s="2206">
        <v>627</v>
      </c>
      <c r="F22" s="2207">
        <v>283</v>
      </c>
      <c r="G22" s="3328">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45" customHeight="1">
      <c r="A23" s="2197" t="s">
        <v>2613</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325"/>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325"/>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332"/>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c r="A26" s="2197" t="s">
        <v>154</v>
      </c>
      <c r="B26" s="2206">
        <v>392</v>
      </c>
      <c r="C26" s="2206">
        <v>302</v>
      </c>
      <c r="D26" s="2206">
        <f>C26</f>
        <v>302</v>
      </c>
      <c r="E26" s="2206">
        <v>553</v>
      </c>
      <c r="F26" s="2207">
        <v>266</v>
      </c>
      <c r="G26" s="3328">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325"/>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325"/>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5"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326"/>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324">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325"/>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325"/>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326"/>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324">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325"/>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5"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325"/>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326"/>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329">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330"/>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330"/>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331"/>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324">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325"/>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325"/>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5" thickBot="1">
      <c r="A45" s="2197" t="s">
        <v>897</v>
      </c>
      <c r="B45" s="2198">
        <f>B44/(1+N44)</f>
        <v>275.19025476197027</v>
      </c>
      <c r="C45" s="2242">
        <v>232</v>
      </c>
      <c r="D45" s="2242">
        <f t="shared" si="213"/>
        <v>232</v>
      </c>
      <c r="E45" s="2198">
        <f t="shared" si="224"/>
        <v>375.65990977608692</v>
      </c>
      <c r="F45" s="2198">
        <f t="shared" si="224"/>
        <v>214.12518283971252</v>
      </c>
      <c r="G45" s="3326"/>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324">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325">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325">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5"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326">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324">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325">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325">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5"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326">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324">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325">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325">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326">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324">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325">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325">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5"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326">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324">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325">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325">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326">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324">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325">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325">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326">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324">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325">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325">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326">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324">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325">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325">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5"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326">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324">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325">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325">
        <v>2003</v>
      </c>
      <c r="H80" s="2208">
        <v>2</v>
      </c>
      <c r="I80" s="2262"/>
      <c r="J80" s="2262"/>
      <c r="K80" s="2262"/>
      <c r="L80" s="2262"/>
      <c r="X80" s="2254"/>
      <c r="Y80" s="2254"/>
      <c r="Z80" s="2254"/>
    </row>
    <row r="81" spans="1:26" ht="13.5" thickBot="1">
      <c r="A81" s="2197" t="s">
        <v>933</v>
      </c>
      <c r="B81" s="2264">
        <f t="shared" si="249"/>
        <v>107.25</v>
      </c>
      <c r="C81" s="2264">
        <f t="shared" si="249"/>
        <v>108.75</v>
      </c>
      <c r="D81" s="2264">
        <f t="shared" si="213"/>
        <v>108.75</v>
      </c>
      <c r="E81" s="2264">
        <f t="shared" si="250"/>
        <v>105.75</v>
      </c>
      <c r="F81" s="2264">
        <f t="shared" si="250"/>
        <v>102.5</v>
      </c>
      <c r="G81" s="3326">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324">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325">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325">
        <v>2002</v>
      </c>
      <c r="H84" s="2208">
        <v>2</v>
      </c>
      <c r="I84" s="2262"/>
      <c r="J84" s="2262"/>
      <c r="K84" s="2262"/>
      <c r="L84" s="2262"/>
      <c r="X84" s="2254"/>
      <c r="Y84" s="2254"/>
      <c r="Z84" s="2254"/>
    </row>
    <row r="85" spans="1:26" s="2229" customFormat="1" ht="13.5" thickBot="1">
      <c r="A85" s="2225" t="s">
        <v>937</v>
      </c>
      <c r="B85" s="2232">
        <f t="shared" si="251"/>
        <v>103</v>
      </c>
      <c r="C85" s="2232">
        <f t="shared" si="251"/>
        <v>104</v>
      </c>
      <c r="D85" s="2232">
        <f t="shared" si="213"/>
        <v>104</v>
      </c>
      <c r="E85" s="2232">
        <f t="shared" si="252"/>
        <v>103.5</v>
      </c>
      <c r="F85" s="2232">
        <f t="shared" si="252"/>
        <v>100.5</v>
      </c>
      <c r="G85" s="3326">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5"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125" style="1520" customWidth="1"/>
    <col min="3" max="3" width="11.375" style="1520" customWidth="1"/>
    <col min="4" max="4" width="31.875" style="1520" customWidth="1"/>
    <col min="5" max="5" width="0.5" style="1520" customWidth="1"/>
    <col min="6" max="7" width="13" style="1520" customWidth="1"/>
    <col min="8" max="16384" width="9" style="1520"/>
  </cols>
  <sheetData>
    <row r="1" spans="1:5" ht="18.75">
      <c r="A1" s="1519" t="s">
        <v>1345</v>
      </c>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估价结果一览表（市场价值不需“结果表-1”）</v>
      </c>
      <c r="B3" s="2999"/>
      <c r="C3" s="2999"/>
      <c r="D3" s="2999"/>
      <c r="E3" s="2999"/>
    </row>
    <row r="4" spans="1:5" ht="19.5" thickBot="1">
      <c r="A4" s="1521"/>
      <c r="B4" s="2997" t="s">
        <v>1354</v>
      </c>
      <c r="C4" s="2997"/>
      <c r="D4" s="2997"/>
      <c r="E4" s="1521"/>
    </row>
    <row r="5" spans="1:5" ht="16.5" thickTop="1">
      <c r="B5" s="2995" t="s">
        <v>1346</v>
      </c>
      <c r="C5" s="1522" t="s">
        <v>1347</v>
      </c>
      <c r="D5" s="882" t="e">
        <f ca="1">结果表!H101</f>
        <v>#REF!</v>
      </c>
    </row>
    <row r="6" spans="1:5" ht="15.75">
      <c r="B6" s="2995"/>
      <c r="C6" s="1522" t="s">
        <v>1348</v>
      </c>
      <c r="D6" s="882" t="e">
        <f ca="1">NUMBERSTRING(INT(D5*10000),2)&amp;"元整"</f>
        <v>#REF!</v>
      </c>
    </row>
    <row r="7" spans="1:5" ht="15.75">
      <c r="B7" s="3000"/>
      <c r="C7" s="1523" t="s">
        <v>1349</v>
      </c>
      <c r="D7" s="883" t="e">
        <f ca="1">结果表!H102</f>
        <v>#REF!</v>
      </c>
    </row>
    <row r="8" spans="1:5" ht="15.75">
      <c r="B8" s="3001" t="str">
        <f>结果表!E103</f>
        <v>2.估价师知悉的法定优先受偿款</v>
      </c>
      <c r="C8" s="1524" t="s">
        <v>1350</v>
      </c>
      <c r="D8" s="883">
        <f>结果表!H103</f>
        <v>0</v>
      </c>
    </row>
    <row r="9" spans="1:5" ht="15.75">
      <c r="B9" s="3003"/>
      <c r="C9" s="1522" t="s">
        <v>1348</v>
      </c>
      <c r="D9" s="882" t="str">
        <f>NUMBERSTRING(INT(D8*10000),2)&amp;"元整"</f>
        <v>零元整</v>
      </c>
    </row>
    <row r="10" spans="1:5" ht="15">
      <c r="B10" s="1525" t="s">
        <v>1353</v>
      </c>
      <c r="C10" s="1526" t="s">
        <v>1351</v>
      </c>
      <c r="D10" s="884">
        <f>结果表!H104</f>
        <v>0</v>
      </c>
    </row>
    <row r="11" spans="1:5" ht="15">
      <c r="B11" s="1525" t="s">
        <v>1355</v>
      </c>
      <c r="C11" s="1526" t="s">
        <v>1356</v>
      </c>
      <c r="D11" s="884">
        <f>结果表!H105</f>
        <v>0</v>
      </c>
    </row>
    <row r="12" spans="1:5" ht="15">
      <c r="B12" s="1525" t="s">
        <v>1357</v>
      </c>
      <c r="C12" s="1526" t="s">
        <v>1356</v>
      </c>
      <c r="D12" s="884">
        <f>结果表!H106</f>
        <v>0</v>
      </c>
    </row>
    <row r="13" spans="1:5" ht="15.75">
      <c r="B13" s="2994" t="str">
        <f>结果表!E107</f>
        <v>3.房地产抵押价值</v>
      </c>
      <c r="C13" s="1527" t="s">
        <v>1347</v>
      </c>
      <c r="D13" s="885" t="e">
        <f ca="1">结果表!H107</f>
        <v>#REF!</v>
      </c>
    </row>
    <row r="14" spans="1:5" ht="15.75">
      <c r="B14" s="2995"/>
      <c r="C14" s="1522" t="s">
        <v>1348</v>
      </c>
      <c r="D14" s="882" t="e">
        <f ca="1">NUMBERSTRING(INT(D13*10000),2)&amp;"元整"</f>
        <v>#REF!</v>
      </c>
    </row>
    <row r="15" spans="1:5" ht="15">
      <c r="B15" s="3000"/>
      <c r="C15" s="1523" t="s">
        <v>1358</v>
      </c>
      <c r="D15" s="891" t="e">
        <f ca="1">结果表!H108</f>
        <v>#REF!</v>
      </c>
    </row>
    <row r="16" spans="1:5" ht="15">
      <c r="B16" s="3001" t="str">
        <f>结果表!E109</f>
        <v>——</v>
      </c>
      <c r="C16" s="1527" t="s">
        <v>1359</v>
      </c>
      <c r="D16" s="1528" t="str">
        <f>结果表!H109</f>
        <v>——</v>
      </c>
    </row>
    <row r="17" spans="1:5" ht="15.75">
      <c r="B17" s="3002"/>
      <c r="C17" s="1522" t="s">
        <v>1360</v>
      </c>
      <c r="D17" s="882" t="e">
        <f>NUMBERSTRING(INT(D16*10000),2)&amp;"元整"</f>
        <v>#VALUE!</v>
      </c>
    </row>
    <row r="18" spans="1:5" ht="15">
      <c r="B18" s="3003"/>
      <c r="C18" s="1523" t="s">
        <v>1349</v>
      </c>
      <c r="D18" s="891" t="str">
        <f>结果表!H110</f>
        <v>——</v>
      </c>
    </row>
    <row r="19" spans="1:5" ht="15.75">
      <c r="B19" s="2994" t="str">
        <f>结果表!E111</f>
        <v>——</v>
      </c>
      <c r="C19" s="1527" t="s">
        <v>1347</v>
      </c>
      <c r="D19" s="883" t="str">
        <f>结果表!H111</f>
        <v>——</v>
      </c>
    </row>
    <row r="20" spans="1:5" ht="15.75">
      <c r="B20" s="2995"/>
      <c r="C20" s="1522" t="s">
        <v>1360</v>
      </c>
      <c r="D20" s="882" t="e">
        <f>NUMBERSTRING(INT(D19*10000),2)&amp;"元整"</f>
        <v>#VALUE!</v>
      </c>
    </row>
    <row r="21" spans="1:5" ht="15.75" thickBot="1">
      <c r="B21" s="2996"/>
      <c r="C21" s="1529" t="s">
        <v>1358</v>
      </c>
      <c r="D21" s="892" t="str">
        <f>结果表!H112</f>
        <v>——</v>
      </c>
    </row>
    <row r="22" spans="1:5" ht="15" thickTop="1">
      <c r="B22" s="1530" t="s">
        <v>1361</v>
      </c>
    </row>
    <row r="24" spans="1:5" ht="18.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75"/>
  <cols>
    <col min="1" max="1" width="11.5" style="127"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2584</v>
      </c>
      <c r="C1" s="3336" t="s">
        <v>2585</v>
      </c>
      <c r="D1" s="3337"/>
      <c r="E1" s="3337"/>
      <c r="F1" s="3337"/>
      <c r="G1" s="3337"/>
      <c r="H1" s="3337"/>
      <c r="I1" s="3337"/>
      <c r="J1" s="3337"/>
      <c r="K1" s="3337"/>
      <c r="L1" s="3337"/>
      <c r="M1" s="3337"/>
      <c r="N1" s="3337"/>
      <c r="O1" s="3337"/>
      <c r="P1" s="3337"/>
      <c r="Q1" s="3337"/>
      <c r="R1" s="3337"/>
      <c r="S1" s="3338"/>
      <c r="T1" s="1036" t="s">
        <v>2586</v>
      </c>
    </row>
    <row r="2" spans="1:45" s="633" customFormat="1">
      <c r="A2" s="1037"/>
      <c r="B2" s="630" t="s">
        <v>2587</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2588</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2589</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2590</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2591</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2592</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2593</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2594</v>
      </c>
      <c r="B17" s="2142" t="s">
        <v>2595</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2596</v>
      </c>
      <c r="E19" s="1382"/>
      <c r="F19" s="1382"/>
      <c r="G19" s="1382"/>
      <c r="H19" s="1103"/>
      <c r="I19" s="156"/>
      <c r="J19" s="156"/>
      <c r="K19" s="156"/>
      <c r="L19" s="156"/>
      <c r="M19" s="156"/>
      <c r="N19" s="156"/>
      <c r="O19" s="156"/>
      <c r="P19" s="156"/>
      <c r="Q19" s="156"/>
      <c r="R19" s="156"/>
      <c r="S19" s="126"/>
    </row>
    <row r="20" spans="1:45" ht="16.5" thickBot="1">
      <c r="A20" s="641" t="s">
        <v>2597</v>
      </c>
      <c r="B20" s="292" t="e">
        <f ca="1">IF(D20="——",S22,S22-F20)</f>
        <v>#REF!</v>
      </c>
      <c r="C20" s="156"/>
      <c r="D20" s="2144"/>
      <c r="E20" s="1383"/>
      <c r="F20" s="1036" t="e">
        <f ca="1">SUMIF(INDIRECT("'"&amp;H20&amp;"'"&amp;"!A:A"),"承租人权益价值",INDIRECT("'"&amp;H20&amp;"'"&amp;"!c:c"))</f>
        <v>#REF!</v>
      </c>
      <c r="G20" s="1036" t="s">
        <v>2598</v>
      </c>
      <c r="H20" s="2145"/>
      <c r="I20" s="156"/>
      <c r="J20" s="156"/>
      <c r="K20" s="156"/>
      <c r="L20" s="156"/>
      <c r="M20" s="156"/>
      <c r="N20" s="156"/>
      <c r="O20" s="156"/>
      <c r="P20" s="156"/>
      <c r="Q20" s="156"/>
      <c r="R20" s="156"/>
      <c r="S20" s="126"/>
    </row>
    <row r="21" spans="1:45" ht="15.75">
      <c r="A21" s="641" t="s">
        <v>2599</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2600</v>
      </c>
      <c r="B22" s="24">
        <f>SUM(B24:B10000)</f>
        <v>100</v>
      </c>
      <c r="C22" s="3333" t="s">
        <v>33</v>
      </c>
      <c r="D22" s="3334"/>
      <c r="E22" s="3334"/>
      <c r="F22" s="3334"/>
      <c r="G22" s="3334"/>
      <c r="H22" s="3334"/>
      <c r="I22" s="3334"/>
      <c r="J22" s="3334"/>
      <c r="K22" s="3334"/>
      <c r="L22" s="3334"/>
      <c r="M22" s="3334"/>
      <c r="N22" s="3334"/>
      <c r="O22" s="3334"/>
      <c r="P22" s="3334"/>
      <c r="Q22" s="3335"/>
      <c r="R22" s="24">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11" t="s">
        <v>2604</v>
      </c>
      <c r="S23" s="11" t="s">
        <v>2605</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2606</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125" style="249" customWidth="1"/>
    <col min="3" max="3" width="12.125" style="249" customWidth="1"/>
    <col min="4" max="5" width="1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t="e">
        <f ca="1">C52</f>
        <v>#VALUE!</v>
      </c>
      <c r="C2" s="2" t="s">
        <v>133</v>
      </c>
      <c r="D2" s="197"/>
      <c r="E2" s="197"/>
      <c r="F2" s="197"/>
      <c r="G2" s="197"/>
    </row>
    <row r="3" spans="1:7" s="198" customFormat="1" ht="18" customHeight="1" thickBot="1">
      <c r="A3" s="201" t="s">
        <v>85</v>
      </c>
      <c r="B3" s="202" t="e">
        <f ca="1">ROUND(B2*10000/'数据-汇总表'!E3,0)</f>
        <v>#VALUE!</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20000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0</v>
      </c>
      <c r="D7" s="218"/>
      <c r="E7" s="216"/>
      <c r="F7" s="219">
        <f>'数据-取费表'!B48+'数据-取费表'!B49</f>
        <v>0</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0</v>
      </c>
      <c r="D10" s="880">
        <f>'数据-汇总表'!E6</f>
        <v>11320.8</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0</v>
      </c>
      <c r="D19" s="210">
        <f>'数据-汇总表'!E3</f>
        <v>11320.8</v>
      </c>
      <c r="E19" s="209">
        <f>'数据-取费表'!B31</f>
        <v>0</v>
      </c>
      <c r="F19" s="229"/>
      <c r="G19" s="1" t="s">
        <v>861</v>
      </c>
    </row>
    <row r="20" spans="1:7" s="212" customFormat="1" ht="13.5" customHeight="1">
      <c r="A20" s="815" t="s">
        <v>844</v>
      </c>
      <c r="B20" s="208" t="s">
        <v>104</v>
      </c>
      <c r="C20" s="230">
        <f>ROUND((C5+C19)*F20,0)</f>
        <v>0</v>
      </c>
      <c r="D20" s="230"/>
      <c r="E20" s="230"/>
      <c r="F20" s="231">
        <f>'数据-取费表'!B37</f>
        <v>0</v>
      </c>
      <c r="G20" s="1112" t="s">
        <v>855</v>
      </c>
    </row>
    <row r="21" spans="1:7" s="212" customFormat="1" ht="13.5" customHeight="1">
      <c r="A21" s="815" t="s">
        <v>846</v>
      </c>
      <c r="B21" s="208" t="s">
        <v>105</v>
      </c>
      <c r="C21" s="233">
        <f>F21</f>
        <v>0</v>
      </c>
      <c r="D21" s="234" t="s">
        <v>126</v>
      </c>
      <c r="E21" s="230"/>
      <c r="F21" s="231">
        <f>'数据-取费表'!B38</f>
        <v>0</v>
      </c>
      <c r="G21" s="232" t="s">
        <v>106</v>
      </c>
    </row>
    <row r="22" spans="1:7" s="212" customFormat="1" ht="13.5" customHeight="1">
      <c r="A22" s="815" t="s">
        <v>605</v>
      </c>
      <c r="B22" s="208" t="s">
        <v>107</v>
      </c>
      <c r="C22" s="1149" t="e">
        <f ca="1">ROUND(SUM(C23:C25),0)</f>
        <v>#VALUE!</v>
      </c>
      <c r="D22" s="233" t="e">
        <f ca="1">C26</f>
        <v>#VALUE!</v>
      </c>
      <c r="E22" s="234" t="s">
        <v>126</v>
      </c>
      <c r="F22" s="235" t="e">
        <f ca="1">'数据-取费表'!B40</f>
        <v>#VALUE!</v>
      </c>
      <c r="G22" s="1112" t="str">
        <f>IF('数据-取费表'!B22&lt;=1,"单利计息","复利计息")</f>
        <v>单利计息</v>
      </c>
    </row>
    <row r="23" spans="1:7" s="212" customFormat="1" ht="13.5" customHeight="1">
      <c r="A23" s="818" t="s">
        <v>613</v>
      </c>
      <c r="B23" s="213" t="s">
        <v>848</v>
      </c>
      <c r="C23" s="1150" t="e">
        <f ca="1">ROUND(IF('数据-取费表'!B22&lt;=1,C5*F22*'数据-取费表'!B23,C5*(POWER((1+F22),'数据-取费表'!B23)-1)),0)</f>
        <v>#VALUE!</v>
      </c>
      <c r="D23" s="236"/>
      <c r="E23" s="236"/>
      <c r="F23" s="237"/>
      <c r="G23" s="238" t="s">
        <v>108</v>
      </c>
    </row>
    <row r="24" spans="1:7" s="212" customFormat="1" ht="13.5" customHeight="1">
      <c r="A24" s="818" t="s">
        <v>611</v>
      </c>
      <c r="B24" s="213" t="s">
        <v>843</v>
      </c>
      <c r="C24" s="1150" t="e">
        <f ca="1">ROUND(IF('数据-取费表'!B22&lt;=1,C19*F22*('数据-取费表'!B19/2+'数据-取费表'!B21),C19*(POWER((1+F22),('数据-取费表'!B19/2+'数据-取费表'!B21))-1)),0)</f>
        <v>#VALUE!</v>
      </c>
      <c r="D24" s="236"/>
      <c r="E24" s="236"/>
      <c r="F24" s="237"/>
      <c r="G24" s="238" t="s">
        <v>109</v>
      </c>
    </row>
    <row r="25" spans="1:7" s="212" customFormat="1" ht="24">
      <c r="A25" s="818" t="s">
        <v>612</v>
      </c>
      <c r="B25" s="213" t="s">
        <v>845</v>
      </c>
      <c r="C25" s="1150" t="e">
        <f ca="1">ROUND(IF('数据-取费表'!B22&lt;=1,C20*F22*'数据-取费表'!B23/2,C20*(POWER((1+F22),'数据-取费表'!B23/2)-1)),0)</f>
        <v>#VALUE!</v>
      </c>
      <c r="D25" s="236"/>
      <c r="E25" s="239"/>
      <c r="F25" s="237"/>
      <c r="G25" s="240" t="s">
        <v>110</v>
      </c>
    </row>
    <row r="26" spans="1:7" s="212" customFormat="1">
      <c r="A26" s="818" t="s">
        <v>614</v>
      </c>
      <c r="B26" s="213" t="s">
        <v>847</v>
      </c>
      <c r="C26" s="236" t="e">
        <f ca="1">ROUND(IF('数据-取费表'!B22&lt;=1,F21*F22*'数据-取费表'!B23/2,F21*(POWER((1+F22),'数据-取费表'!B23/2)-1)),4)</f>
        <v>#VALUE!</v>
      </c>
      <c r="D26" s="236"/>
      <c r="E26" s="239"/>
      <c r="F26" s="237"/>
      <c r="G26" s="241"/>
    </row>
    <row r="27" spans="1:7" s="212" customFormat="1" ht="24.75">
      <c r="A27" s="815" t="s">
        <v>606</v>
      </c>
      <c r="B27" s="242" t="s">
        <v>112</v>
      </c>
      <c r="C27" s="243" t="e">
        <f>C28</f>
        <v>#DIV/0!</v>
      </c>
      <c r="D27" s="233" t="e">
        <f>C29</f>
        <v>#DIV/0!</v>
      </c>
      <c r="E27" s="234" t="s">
        <v>126</v>
      </c>
      <c r="F27" s="244" t="e">
        <f>'数据-取费表'!Q16</f>
        <v>#DIV/0!</v>
      </c>
      <c r="G27" s="245" t="s">
        <v>856</v>
      </c>
    </row>
    <row r="28" spans="1:7" s="212" customFormat="1" ht="13.5" customHeight="1">
      <c r="A28" s="818" t="s">
        <v>613</v>
      </c>
      <c r="B28" s="246" t="s">
        <v>849</v>
      </c>
      <c r="C28" s="247" t="e">
        <f>ROUND((C5+C19+C20)*F27*'数据-取费表'!B21/'数据-取费表'!B20,0)</f>
        <v>#DIV/0!</v>
      </c>
      <c r="D28" s="233"/>
      <c r="E28" s="234"/>
      <c r="F28" s="244"/>
      <c r="G28" s="245"/>
    </row>
    <row r="29" spans="1:7" s="212" customFormat="1" ht="13.5" customHeight="1">
      <c r="A29" s="818" t="s">
        <v>611</v>
      </c>
      <c r="B29" s="246" t="s">
        <v>850</v>
      </c>
      <c r="C29" s="236" t="e">
        <f>ROUND(C21*F27*'数据-取费表'!B21/'数据-取费表'!B20,4)</f>
        <v>#DIV/0!</v>
      </c>
      <c r="D29" s="233"/>
      <c r="E29" s="234"/>
      <c r="F29" s="244"/>
      <c r="G29" s="245"/>
    </row>
    <row r="30" spans="1:7" s="212" customFormat="1" ht="13.5" customHeight="1">
      <c r="A30" s="815" t="s">
        <v>607</v>
      </c>
      <c r="B30" s="208" t="s">
        <v>58</v>
      </c>
      <c r="C30" s="233">
        <f>F30</f>
        <v>0</v>
      </c>
      <c r="D30" s="234" t="s">
        <v>127</v>
      </c>
      <c r="E30" s="239"/>
      <c r="F30" s="235">
        <f>'数据-取费表'!B41</f>
        <v>0</v>
      </c>
      <c r="G30" s="232" t="s">
        <v>113</v>
      </c>
    </row>
    <row r="31" spans="1:7" ht="16.5" customHeight="1">
      <c r="A31" s="207">
        <v>1</v>
      </c>
      <c r="B31" s="208" t="s">
        <v>128</v>
      </c>
      <c r="C31" s="209" t="e">
        <f ca="1">ROUND((C5+C19+C20+C22+C27)/(1-C21-D22-D27-C30/(1+'数据-取费表'!B42)),0)</f>
        <v>#VALUE!</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0</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0</v>
      </c>
      <c r="D34" s="215"/>
      <c r="E34" s="218"/>
      <c r="F34" s="255">
        <f>IF('数据-取费表'!B24=0,1,'数据-取费表'!N16)</f>
        <v>1</v>
      </c>
      <c r="G34" s="217" t="s">
        <v>116</v>
      </c>
    </row>
    <row r="35" spans="1:7" ht="13.5" customHeight="1">
      <c r="A35" s="818" t="s">
        <v>615</v>
      </c>
      <c r="B35" s="213" t="s">
        <v>60</v>
      </c>
      <c r="C35" s="218">
        <f>ROUND(C34*F35,0)</f>
        <v>0</v>
      </c>
      <c r="D35" s="218"/>
      <c r="E35" s="218"/>
      <c r="F35" s="257">
        <f>'数据-取费表'!B33</f>
        <v>0</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0</v>
      </c>
      <c r="D37" s="215">
        <f>'数据-汇总表'!E3</f>
        <v>11320.8</v>
      </c>
      <c r="E37" s="247">
        <f>'数据-取费表'!B35</f>
        <v>0</v>
      </c>
      <c r="F37" s="257"/>
      <c r="G37" s="259" t="s">
        <v>119</v>
      </c>
    </row>
    <row r="38" spans="1:7" ht="13.5" customHeight="1">
      <c r="A38" s="818" t="s">
        <v>618</v>
      </c>
      <c r="B38" s="213" t="s">
        <v>63</v>
      </c>
      <c r="C38" s="218">
        <f>ROUND(C34*F38,0)</f>
        <v>0</v>
      </c>
      <c r="D38" s="218"/>
      <c r="E38" s="218"/>
      <c r="F38" s="257">
        <f>'数据-取费表'!B36</f>
        <v>0</v>
      </c>
      <c r="G38" s="217" t="s">
        <v>117</v>
      </c>
    </row>
    <row r="39" spans="1:7" s="212" customFormat="1" ht="13.5" customHeight="1">
      <c r="A39" s="815" t="s">
        <v>602</v>
      </c>
      <c r="B39" s="208" t="s">
        <v>104</v>
      </c>
      <c r="C39" s="230">
        <f>ROUND(C33*F20,0)</f>
        <v>0</v>
      </c>
      <c r="D39" s="230"/>
      <c r="E39" s="230"/>
      <c r="F39" s="231"/>
      <c r="G39" s="1112" t="s">
        <v>858</v>
      </c>
    </row>
    <row r="40" spans="1:7" s="212" customFormat="1" ht="13.5" customHeight="1">
      <c r="A40" s="815" t="s">
        <v>603</v>
      </c>
      <c r="B40" s="208" t="s">
        <v>105</v>
      </c>
      <c r="C40" s="260">
        <f>F21</f>
        <v>0</v>
      </c>
      <c r="D40" s="234" t="s">
        <v>129</v>
      </c>
      <c r="E40" s="230"/>
      <c r="F40" s="231"/>
      <c r="G40" s="232" t="s">
        <v>120</v>
      </c>
    </row>
    <row r="41" spans="1:7" s="212" customFormat="1" ht="13.5" customHeight="1">
      <c r="A41" s="815" t="s">
        <v>604</v>
      </c>
      <c r="B41" s="208" t="s">
        <v>107</v>
      </c>
      <c r="C41" s="230" t="e">
        <f ca="1">ROUND(SUM(C42:C43),0)</f>
        <v>#VALUE!</v>
      </c>
      <c r="D41" s="233" t="e">
        <f ca="1">C44</f>
        <v>#VALUE!</v>
      </c>
      <c r="E41" s="234" t="s">
        <v>129</v>
      </c>
      <c r="F41" s="235"/>
      <c r="G41" s="1112" t="str">
        <f>IF('数据-取费表'!B22&lt;=1,"单利计息","复利计息")</f>
        <v>单利计息</v>
      </c>
    </row>
    <row r="42" spans="1:7" ht="13.5" customHeight="1">
      <c r="A42" s="818" t="s">
        <v>613</v>
      </c>
      <c r="B42" s="213" t="s">
        <v>848</v>
      </c>
      <c r="C42" s="236" t="e">
        <f ca="1">ROUND(IF('数据-取费表'!B22&lt;=1,C33*F22*'数据-取费表'!B21/2,C33*(POWER((1+F22),'数据-取费表'!B21/2)-1)),0)</f>
        <v>#VALUE!</v>
      </c>
      <c r="D42" s="236"/>
      <c r="E42" s="236"/>
      <c r="F42" s="237"/>
      <c r="G42" s="3183" t="s">
        <v>121</v>
      </c>
    </row>
    <row r="43" spans="1:7" ht="13.5" customHeight="1">
      <c r="A43" s="818" t="s">
        <v>611</v>
      </c>
      <c r="B43" s="213" t="s">
        <v>851</v>
      </c>
      <c r="C43" s="236" t="e">
        <f ca="1">ROUND(IF('数据-取费表'!B22&lt;=1,C39*F22*'数据-取费表'!B21/2,C39*(POWER((1+F22),'数据-取费表'!B21/2)-1)),0)</f>
        <v>#VALUE!</v>
      </c>
      <c r="D43" s="236"/>
      <c r="E43" s="236"/>
      <c r="F43" s="237"/>
      <c r="G43" s="3184"/>
    </row>
    <row r="44" spans="1:7" ht="13.5" customHeight="1">
      <c r="A44" s="818" t="s">
        <v>612</v>
      </c>
      <c r="B44" s="213" t="s">
        <v>853</v>
      </c>
      <c r="C44" s="236" t="e">
        <f ca="1">ROUND(IF('数据-取费表'!B22&lt;=1,C40*F22*'数据-取费表'!B21/2,C40*(POWER((1+F22),'数据-取费表'!B21/2)-1)),4)</f>
        <v>#VALUE!</v>
      </c>
      <c r="D44" s="236"/>
      <c r="E44" s="236"/>
      <c r="F44" s="237"/>
      <c r="G44" s="3185"/>
    </row>
    <row r="45" spans="1:7" s="212" customFormat="1" ht="13.5" customHeight="1">
      <c r="A45" s="815" t="s">
        <v>605</v>
      </c>
      <c r="B45" s="242" t="s">
        <v>112</v>
      </c>
      <c r="C45" s="243" t="e">
        <f>C46</f>
        <v>#DIV/0!</v>
      </c>
      <c r="D45" s="233" t="e">
        <f>C47</f>
        <v>#DIV/0!</v>
      </c>
      <c r="E45" s="234" t="s">
        <v>129</v>
      </c>
      <c r="F45" s="244"/>
      <c r="G45" s="245" t="s">
        <v>859</v>
      </c>
    </row>
    <row r="46" spans="1:7" s="212" customFormat="1" ht="13.5" customHeight="1">
      <c r="A46" s="818" t="s">
        <v>613</v>
      </c>
      <c r="B46" s="246" t="s">
        <v>852</v>
      </c>
      <c r="C46" s="247" t="e">
        <f>ROUND((C33+C39)*F27,0)</f>
        <v>#DIV/0!</v>
      </c>
      <c r="D46" s="261"/>
      <c r="E46" s="234"/>
      <c r="F46" s="244"/>
      <c r="G46" s="245"/>
    </row>
    <row r="47" spans="1:7" s="212" customFormat="1" ht="13.5" customHeight="1">
      <c r="A47" s="818" t="s">
        <v>611</v>
      </c>
      <c r="B47" s="246" t="s">
        <v>854</v>
      </c>
      <c r="C47" s="236" t="e">
        <f>ROUND(C40*F27,4)</f>
        <v>#DIV/0!</v>
      </c>
      <c r="D47" s="261"/>
      <c r="E47" s="234"/>
      <c r="F47" s="244"/>
      <c r="G47" s="245"/>
    </row>
    <row r="48" spans="1:7" s="212" customFormat="1" ht="13.5" customHeight="1">
      <c r="A48" s="815" t="s">
        <v>606</v>
      </c>
      <c r="B48" s="208" t="s">
        <v>122</v>
      </c>
      <c r="C48" s="260">
        <f>F30</f>
        <v>0</v>
      </c>
      <c r="D48" s="234" t="s">
        <v>130</v>
      </c>
      <c r="E48" s="230"/>
      <c r="F48" s="235"/>
      <c r="G48" s="232" t="s">
        <v>123</v>
      </c>
    </row>
    <row r="49" spans="1:7" ht="16.5" customHeight="1">
      <c r="A49" s="815" t="s">
        <v>607</v>
      </c>
      <c r="B49" s="208" t="s">
        <v>131</v>
      </c>
      <c r="C49" s="230" t="e">
        <f ca="1">ROUND((C33+C39+C41+C45)/(1-C40-D41-D45-C48/(1+'数据-取费表'!B42)),0)</f>
        <v>#VALUE!</v>
      </c>
      <c r="D49" s="230"/>
      <c r="E49" s="230"/>
      <c r="F49" s="262"/>
      <c r="G49" s="232" t="s">
        <v>860</v>
      </c>
    </row>
    <row r="50" spans="1:7" s="256" customFormat="1" ht="24">
      <c r="A50" s="815" t="s">
        <v>608</v>
      </c>
      <c r="B50" s="208" t="s">
        <v>124</v>
      </c>
      <c r="C50" s="230"/>
      <c r="D50" s="230"/>
      <c r="E50" s="230"/>
      <c r="F50" s="262" t="e">
        <f>IF('数据-取费表'!B24=0,'数据-取费表'!N16,1)</f>
        <v>#DIV/0!</v>
      </c>
      <c r="G50" s="245" t="s">
        <v>125</v>
      </c>
    </row>
    <row r="51" spans="1:7" ht="16.5" customHeight="1">
      <c r="A51" s="815" t="s">
        <v>609</v>
      </c>
      <c r="B51" s="208" t="s">
        <v>132</v>
      </c>
      <c r="C51" s="230" t="e">
        <f ca="1">ROUND(C49*F50,0)</f>
        <v>#VALUE!</v>
      </c>
      <c r="D51" s="230"/>
      <c r="E51" s="230"/>
      <c r="F51" s="262"/>
      <c r="G51" s="232" t="s">
        <v>64</v>
      </c>
    </row>
    <row r="52" spans="1:7" s="206" customFormat="1" ht="16.5" thickBot="1">
      <c r="A52" s="263" t="s">
        <v>65</v>
      </c>
      <c r="B52" s="264"/>
      <c r="C52" s="265" t="e">
        <f ca="1">C31+C51</f>
        <v>#VALUE!</v>
      </c>
      <c r="D52" s="264"/>
      <c r="E52" s="264"/>
      <c r="F52" s="264"/>
      <c r="G52" s="266"/>
    </row>
    <row r="55" spans="1:7" ht="15">
      <c r="B55" s="268" t="s">
        <v>66</v>
      </c>
      <c r="C55" s="269"/>
    </row>
    <row r="56" spans="1:7">
      <c r="B56" s="271" t="s">
        <v>67</v>
      </c>
      <c r="C56" s="272" t="e">
        <f ca="1">ROUND(C51/C52,3)</f>
        <v>#VALUE!</v>
      </c>
    </row>
    <row r="57" spans="1:7">
      <c r="B57" s="271" t="s">
        <v>68</v>
      </c>
      <c r="C57" s="273"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0" customWidth="1"/>
    <col min="2" max="5" width="10.125" style="709" customWidth="1"/>
    <col min="6" max="6" width="9" style="709"/>
    <col min="7" max="8" width="9" style="723"/>
    <col min="9" max="16384" width="9" style="709"/>
  </cols>
  <sheetData>
    <row r="1" spans="1:19">
      <c r="A1" s="3339" t="s">
        <v>156</v>
      </c>
      <c r="B1" s="3339"/>
      <c r="C1" s="3339"/>
      <c r="D1" s="3339"/>
      <c r="E1" s="3339"/>
      <c r="F1" s="3339"/>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340" t="s">
        <v>169</v>
      </c>
      <c r="B2" s="3340"/>
      <c r="C2" s="3340"/>
      <c r="D2" s="3340"/>
      <c r="E2" s="3340"/>
      <c r="F2" s="3340"/>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41"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42"/>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0" customWidth="1"/>
    <col min="2" max="2" width="10.125" style="709" customWidth="1"/>
  </cols>
  <sheetData>
    <row r="1" spans="1:6">
      <c r="A1" s="3339" t="s">
        <v>658</v>
      </c>
      <c r="B1" s="3339"/>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24.75" thickBot="1">
      <c r="A72" s="735" t="s">
        <v>137</v>
      </c>
      <c r="B72" s="729" t="s">
        <v>672</v>
      </c>
      <c r="C72" s="914"/>
      <c r="D72" s="914"/>
      <c r="E72" s="914"/>
      <c r="F72" s="902">
        <v>0.05</v>
      </c>
    </row>
    <row r="73" spans="1:6" ht="24.75" thickBot="1">
      <c r="A73" s="735" t="s">
        <v>137</v>
      </c>
      <c r="B73" s="729" t="s">
        <v>673</v>
      </c>
      <c r="C73" s="914"/>
      <c r="D73" s="914"/>
      <c r="E73" s="914"/>
      <c r="F73" s="902">
        <v>0.05</v>
      </c>
    </row>
    <row r="74" spans="1:6" ht="24.75" thickBot="1">
      <c r="A74" s="735" t="s">
        <v>137</v>
      </c>
      <c r="B74" s="729" t="s">
        <v>674</v>
      </c>
      <c r="C74" s="914"/>
      <c r="D74" s="914"/>
      <c r="E74" s="914"/>
      <c r="F74" s="902">
        <v>0.05</v>
      </c>
    </row>
    <row r="75" spans="1:6" ht="24.7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24.7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24.7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74" customWidth="1"/>
    <col min="2" max="2" width="13.1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125" style="1280" customWidth="1"/>
    <col min="9" max="9" width="9" style="1280"/>
    <col min="10" max="10" width="9.375" style="1280" bestFit="1" customWidth="1"/>
    <col min="11" max="11" width="4" style="1274" customWidth="1"/>
    <col min="12" max="12" width="5.125" style="1280" customWidth="1"/>
    <col min="13" max="13" width="13.875" style="1280" customWidth="1"/>
    <col min="14" max="256" width="9" style="1280"/>
    <col min="257" max="257" width="4.875" style="1271" customWidth="1"/>
    <col min="258" max="258" width="13.1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875" style="1271" customWidth="1"/>
    <col min="270" max="512" width="9" style="1271"/>
    <col min="513" max="513" width="4.875" style="1271" customWidth="1"/>
    <col min="514" max="514" width="13.1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875" style="1271" customWidth="1"/>
    <col min="526" max="768" width="9" style="1271"/>
    <col min="769" max="769" width="4.875" style="1271" customWidth="1"/>
    <col min="770" max="770" width="13.1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875" style="1271" customWidth="1"/>
    <col min="782" max="1024" width="9" style="1271"/>
    <col min="1025" max="1025" width="4.875" style="1271" customWidth="1"/>
    <col min="1026" max="1026" width="13.1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875" style="1271" customWidth="1"/>
    <col min="1038" max="1280" width="9" style="1271"/>
    <col min="1281" max="1281" width="4.875" style="1271" customWidth="1"/>
    <col min="1282" max="1282" width="13.1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875" style="1271" customWidth="1"/>
    <col min="1294" max="1536" width="9" style="1271"/>
    <col min="1537" max="1537" width="4.875" style="1271" customWidth="1"/>
    <col min="1538" max="1538" width="13.1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875" style="1271" customWidth="1"/>
    <col min="1550" max="1792" width="9" style="1271"/>
    <col min="1793" max="1793" width="4.875" style="1271" customWidth="1"/>
    <col min="1794" max="1794" width="13.1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875" style="1271" customWidth="1"/>
    <col min="1806" max="2048" width="9" style="1271"/>
    <col min="2049" max="2049" width="4.875" style="1271" customWidth="1"/>
    <col min="2050" max="2050" width="13.1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875" style="1271" customWidth="1"/>
    <col min="2062" max="2304" width="9" style="1271"/>
    <col min="2305" max="2305" width="4.875" style="1271" customWidth="1"/>
    <col min="2306" max="2306" width="13.1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875" style="1271" customWidth="1"/>
    <col min="2318" max="2560" width="9" style="1271"/>
    <col min="2561" max="2561" width="4.875" style="1271" customWidth="1"/>
    <col min="2562" max="2562" width="13.1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875" style="1271" customWidth="1"/>
    <col min="2574" max="2816" width="9" style="1271"/>
    <col min="2817" max="2817" width="4.875" style="1271" customWidth="1"/>
    <col min="2818" max="2818" width="13.1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875" style="1271" customWidth="1"/>
    <col min="2830" max="3072" width="9" style="1271"/>
    <col min="3073" max="3073" width="4.875" style="1271" customWidth="1"/>
    <col min="3074" max="3074" width="13.1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875" style="1271" customWidth="1"/>
    <col min="3086" max="3328" width="9" style="1271"/>
    <col min="3329" max="3329" width="4.875" style="1271" customWidth="1"/>
    <col min="3330" max="3330" width="13.1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875" style="1271" customWidth="1"/>
    <col min="3342" max="3584" width="9" style="1271"/>
    <col min="3585" max="3585" width="4.875" style="1271" customWidth="1"/>
    <col min="3586" max="3586" width="13.1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875" style="1271" customWidth="1"/>
    <col min="3598" max="3840" width="9" style="1271"/>
    <col min="3841" max="3841" width="4.875" style="1271" customWidth="1"/>
    <col min="3842" max="3842" width="13.1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875" style="1271" customWidth="1"/>
    <col min="3854" max="4096" width="9" style="1271"/>
    <col min="4097" max="4097" width="4.875" style="1271" customWidth="1"/>
    <col min="4098" max="4098" width="13.1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875" style="1271" customWidth="1"/>
    <col min="4110" max="4352" width="9" style="1271"/>
    <col min="4353" max="4353" width="4.875" style="1271" customWidth="1"/>
    <col min="4354" max="4354" width="13.1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875" style="1271" customWidth="1"/>
    <col min="4366" max="4608" width="9" style="1271"/>
    <col min="4609" max="4609" width="4.875" style="1271" customWidth="1"/>
    <col min="4610" max="4610" width="13.1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875" style="1271" customWidth="1"/>
    <col min="4622" max="4864" width="9" style="1271"/>
    <col min="4865" max="4865" width="4.875" style="1271" customWidth="1"/>
    <col min="4866" max="4866" width="13.1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875" style="1271" customWidth="1"/>
    <col min="4878" max="5120" width="9" style="1271"/>
    <col min="5121" max="5121" width="4.875" style="1271" customWidth="1"/>
    <col min="5122" max="5122" width="13.1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875" style="1271" customWidth="1"/>
    <col min="5134" max="5376" width="9" style="1271"/>
    <col min="5377" max="5377" width="4.875" style="1271" customWidth="1"/>
    <col min="5378" max="5378" width="13.1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875" style="1271" customWidth="1"/>
    <col min="5390" max="5632" width="9" style="1271"/>
    <col min="5633" max="5633" width="4.875" style="1271" customWidth="1"/>
    <col min="5634" max="5634" width="13.1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875" style="1271" customWidth="1"/>
    <col min="5646" max="5888" width="9" style="1271"/>
    <col min="5889" max="5889" width="4.875" style="1271" customWidth="1"/>
    <col min="5890" max="5890" width="13.1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875" style="1271" customWidth="1"/>
    <col min="5902" max="6144" width="9" style="1271"/>
    <col min="6145" max="6145" width="4.875" style="1271" customWidth="1"/>
    <col min="6146" max="6146" width="13.1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875" style="1271" customWidth="1"/>
    <col min="6158" max="6400" width="9" style="1271"/>
    <col min="6401" max="6401" width="4.875" style="1271" customWidth="1"/>
    <col min="6402" max="6402" width="13.1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875" style="1271" customWidth="1"/>
    <col min="6414" max="6656" width="9" style="1271"/>
    <col min="6657" max="6657" width="4.875" style="1271" customWidth="1"/>
    <col min="6658" max="6658" width="13.1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875" style="1271" customWidth="1"/>
    <col min="6670" max="6912" width="9" style="1271"/>
    <col min="6913" max="6913" width="4.875" style="1271" customWidth="1"/>
    <col min="6914" max="6914" width="13.1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875" style="1271" customWidth="1"/>
    <col min="6926" max="7168" width="9" style="1271"/>
    <col min="7169" max="7169" width="4.875" style="1271" customWidth="1"/>
    <col min="7170" max="7170" width="13.1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875" style="1271" customWidth="1"/>
    <col min="7182" max="7424" width="9" style="1271"/>
    <col min="7425" max="7425" width="4.875" style="1271" customWidth="1"/>
    <col min="7426" max="7426" width="13.1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875" style="1271" customWidth="1"/>
    <col min="7438" max="7680" width="9" style="1271"/>
    <col min="7681" max="7681" width="4.875" style="1271" customWidth="1"/>
    <col min="7682" max="7682" width="13.1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875" style="1271" customWidth="1"/>
    <col min="7694" max="7936" width="9" style="1271"/>
    <col min="7937" max="7937" width="4.875" style="1271" customWidth="1"/>
    <col min="7938" max="7938" width="13.1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875" style="1271" customWidth="1"/>
    <col min="7950" max="8192" width="9" style="1271"/>
    <col min="8193" max="8193" width="4.875" style="1271" customWidth="1"/>
    <col min="8194" max="8194" width="13.1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875" style="1271" customWidth="1"/>
    <col min="8206" max="8448" width="9" style="1271"/>
    <col min="8449" max="8449" width="4.875" style="1271" customWidth="1"/>
    <col min="8450" max="8450" width="13.1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875" style="1271" customWidth="1"/>
    <col min="8462" max="8704" width="9" style="1271"/>
    <col min="8705" max="8705" width="4.875" style="1271" customWidth="1"/>
    <col min="8706" max="8706" width="13.1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875" style="1271" customWidth="1"/>
    <col min="8718" max="8960" width="9" style="1271"/>
    <col min="8961" max="8961" width="4.875" style="1271" customWidth="1"/>
    <col min="8962" max="8962" width="13.1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875" style="1271" customWidth="1"/>
    <col min="8974" max="9216" width="9" style="1271"/>
    <col min="9217" max="9217" width="4.875" style="1271" customWidth="1"/>
    <col min="9218" max="9218" width="13.1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875" style="1271" customWidth="1"/>
    <col min="9230" max="9472" width="9" style="1271"/>
    <col min="9473" max="9473" width="4.875" style="1271" customWidth="1"/>
    <col min="9474" max="9474" width="13.1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875" style="1271" customWidth="1"/>
    <col min="9486" max="9728" width="9" style="1271"/>
    <col min="9729" max="9729" width="4.875" style="1271" customWidth="1"/>
    <col min="9730" max="9730" width="13.1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875" style="1271" customWidth="1"/>
    <col min="9742" max="9984" width="9" style="1271"/>
    <col min="9985" max="9985" width="4.875" style="1271" customWidth="1"/>
    <col min="9986" max="9986" width="13.1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875" style="1271" customWidth="1"/>
    <col min="9998" max="10240" width="9" style="1271"/>
    <col min="10241" max="10241" width="4.875" style="1271" customWidth="1"/>
    <col min="10242" max="10242" width="13.1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875" style="1271" customWidth="1"/>
    <col min="10254" max="10496" width="9" style="1271"/>
    <col min="10497" max="10497" width="4.875" style="1271" customWidth="1"/>
    <col min="10498" max="10498" width="13.1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875" style="1271" customWidth="1"/>
    <col min="10510" max="10752" width="9" style="1271"/>
    <col min="10753" max="10753" width="4.875" style="1271" customWidth="1"/>
    <col min="10754" max="10754" width="13.1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875" style="1271" customWidth="1"/>
    <col min="10766" max="11008" width="9" style="1271"/>
    <col min="11009" max="11009" width="4.875" style="1271" customWidth="1"/>
    <col min="11010" max="11010" width="13.1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875" style="1271" customWidth="1"/>
    <col min="11022" max="11264" width="9" style="1271"/>
    <col min="11265" max="11265" width="4.875" style="1271" customWidth="1"/>
    <col min="11266" max="11266" width="13.1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875" style="1271" customWidth="1"/>
    <col min="11278" max="11520" width="9" style="1271"/>
    <col min="11521" max="11521" width="4.875" style="1271" customWidth="1"/>
    <col min="11522" max="11522" width="13.1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875" style="1271" customWidth="1"/>
    <col min="11534" max="11776" width="9" style="1271"/>
    <col min="11777" max="11777" width="4.875" style="1271" customWidth="1"/>
    <col min="11778" max="11778" width="13.1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875" style="1271" customWidth="1"/>
    <col min="11790" max="12032" width="9" style="1271"/>
    <col min="12033" max="12033" width="4.875" style="1271" customWidth="1"/>
    <col min="12034" max="12034" width="13.1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875" style="1271" customWidth="1"/>
    <col min="12046" max="12288" width="9" style="1271"/>
    <col min="12289" max="12289" width="4.875" style="1271" customWidth="1"/>
    <col min="12290" max="12290" width="13.1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875" style="1271" customWidth="1"/>
    <col min="12302" max="12544" width="9" style="1271"/>
    <col min="12545" max="12545" width="4.875" style="1271" customWidth="1"/>
    <col min="12546" max="12546" width="13.1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875" style="1271" customWidth="1"/>
    <col min="12558" max="12800" width="9" style="1271"/>
    <col min="12801" max="12801" width="4.875" style="1271" customWidth="1"/>
    <col min="12802" max="12802" width="13.1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875" style="1271" customWidth="1"/>
    <col min="12814" max="13056" width="9" style="1271"/>
    <col min="13057" max="13057" width="4.875" style="1271" customWidth="1"/>
    <col min="13058" max="13058" width="13.1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875" style="1271" customWidth="1"/>
    <col min="13070" max="13312" width="9" style="1271"/>
    <col min="13313" max="13313" width="4.875" style="1271" customWidth="1"/>
    <col min="13314" max="13314" width="13.1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875" style="1271" customWidth="1"/>
    <col min="13326" max="13568" width="9" style="1271"/>
    <col min="13569" max="13569" width="4.875" style="1271" customWidth="1"/>
    <col min="13570" max="13570" width="13.1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875" style="1271" customWidth="1"/>
    <col min="13582" max="13824" width="9" style="1271"/>
    <col min="13825" max="13825" width="4.875" style="1271" customWidth="1"/>
    <col min="13826" max="13826" width="13.1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875" style="1271" customWidth="1"/>
    <col min="13838" max="14080" width="9" style="1271"/>
    <col min="14081" max="14081" width="4.875" style="1271" customWidth="1"/>
    <col min="14082" max="14082" width="13.1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875" style="1271" customWidth="1"/>
    <col min="14094" max="14336" width="9" style="1271"/>
    <col min="14337" max="14337" width="4.875" style="1271" customWidth="1"/>
    <col min="14338" max="14338" width="13.1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875" style="1271" customWidth="1"/>
    <col min="14350" max="14592" width="9" style="1271"/>
    <col min="14593" max="14593" width="4.875" style="1271" customWidth="1"/>
    <col min="14594" max="14594" width="13.1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875" style="1271" customWidth="1"/>
    <col min="14606" max="14848" width="9" style="1271"/>
    <col min="14849" max="14849" width="4.875" style="1271" customWidth="1"/>
    <col min="14850" max="14850" width="13.1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875" style="1271" customWidth="1"/>
    <col min="14862" max="15104" width="9" style="1271"/>
    <col min="15105" max="15105" width="4.875" style="1271" customWidth="1"/>
    <col min="15106" max="15106" width="13.1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875" style="1271" customWidth="1"/>
    <col min="15118" max="15360" width="9" style="1271"/>
    <col min="15361" max="15361" width="4.875" style="1271" customWidth="1"/>
    <col min="15362" max="15362" width="13.1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875" style="1271" customWidth="1"/>
    <col min="15374" max="15616" width="9" style="1271"/>
    <col min="15617" max="15617" width="4.875" style="1271" customWidth="1"/>
    <col min="15618" max="15618" width="13.1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875" style="1271" customWidth="1"/>
    <col min="15630" max="15872" width="9" style="1271"/>
    <col min="15873" max="15873" width="4.875" style="1271" customWidth="1"/>
    <col min="15874" max="15874" width="13.1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875" style="1271" customWidth="1"/>
    <col min="15886" max="16128" width="9" style="1271"/>
    <col min="16129" max="16129" width="4.875" style="1271" customWidth="1"/>
    <col min="16130" max="16130" width="13.1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875" style="1271" customWidth="1"/>
    <col min="16142" max="16384" width="9" style="1271"/>
  </cols>
  <sheetData>
    <row r="1" spans="1:257" s="1331" customFormat="1" ht="14.25" thickBot="1">
      <c r="A1" s="1325"/>
      <c r="B1" s="1332" t="s">
        <v>1027</v>
      </c>
      <c r="C1" s="1326">
        <f>项目基本情况!D3</f>
        <v>44848</v>
      </c>
      <c r="D1" s="1332" t="s">
        <v>1028</v>
      </c>
      <c r="E1" s="1327">
        <f>'数据-取费表'!B22</f>
        <v>0</v>
      </c>
      <c r="F1" s="1332" t="s">
        <v>1029</v>
      </c>
      <c r="G1" s="1328" t="e">
        <f ca="1">INDIRECT("d"&amp;$K$1)/100</f>
        <v>#VALUE!</v>
      </c>
      <c r="H1" s="1332" t="s">
        <v>1059</v>
      </c>
      <c r="I1" s="1328">
        <f ca="1">F4/100</f>
        <v>1.4999999999999999E-2</v>
      </c>
      <c r="J1" s="1333">
        <f>IF(C1&gt;C13,0,MATCH(C1,C$13:C$109,-1))+IF(SUMIF(C13:C109,C1,D13:D109)=0,13,12)</f>
        <v>13</v>
      </c>
      <c r="K1" s="1333">
        <f ca="1">MATCH(E1,C3:C7,1)+IF(SUMIF(C3:C7,E1,D3:D7)=0,2,1)</f>
        <v>2</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1057</v>
      </c>
      <c r="C13" s="2744">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2816</v>
      </c>
      <c r="C21" s="1322">
        <v>43697</v>
      </c>
      <c r="D21" s="2743">
        <v>4.25</v>
      </c>
      <c r="E21" s="2743">
        <v>4.25</v>
      </c>
      <c r="F21" s="2743">
        <v>4.25</v>
      </c>
      <c r="G21" s="2743">
        <v>4.25</v>
      </c>
      <c r="H21" s="2743">
        <v>4.8499999999999996</v>
      </c>
      <c r="I21" s="2743"/>
      <c r="J21" s="2743"/>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5"/>
      <c r="B22" s="2746"/>
      <c r="C22" s="2747">
        <v>42301</v>
      </c>
      <c r="D22" s="2748">
        <v>4.3499999999999996</v>
      </c>
      <c r="E22" s="2748">
        <v>4.3499999999999996</v>
      </c>
      <c r="F22" s="2748">
        <v>4.75</v>
      </c>
      <c r="G22" s="2748">
        <v>4.75</v>
      </c>
      <c r="H22" s="2748">
        <v>4.9000000000000004</v>
      </c>
      <c r="I22" s="2748"/>
      <c r="J22" s="2748"/>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6" t="s">
        <v>1097</v>
      </c>
      <c r="E1" s="1370" t="s">
        <v>1101</v>
      </c>
      <c r="F1" s="1371" t="s">
        <v>1105</v>
      </c>
    </row>
    <row r="2" spans="1:13" ht="20.25">
      <c r="A2" s="1377" t="s">
        <v>1098</v>
      </c>
    </row>
    <row r="3" spans="1:13" ht="16.5">
      <c r="A3" s="1378" t="s">
        <v>1099</v>
      </c>
    </row>
    <row r="4" spans="1:13" ht="14.25">
      <c r="A4" s="1368" t="s">
        <v>1100</v>
      </c>
      <c r="B4" s="1373" t="s">
        <v>1102</v>
      </c>
      <c r="C4" s="1374"/>
      <c r="D4" s="1375"/>
      <c r="E4" s="1373" t="s">
        <v>27</v>
      </c>
      <c r="F4" s="1374"/>
      <c r="G4" s="1375"/>
      <c r="H4" s="1373" t="s">
        <v>1103</v>
      </c>
      <c r="I4" s="1374"/>
      <c r="J4" s="1375"/>
      <c r="K4" s="1373" t="s">
        <v>6</v>
      </c>
      <c r="L4" s="1374"/>
      <c r="M4" s="1375"/>
    </row>
    <row r="5" spans="1:13" ht="14.25">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04" t="str">
        <f>IF(项目基本情况!B9="房地产市场价值","估价结果一览表","结果表-2")</f>
        <v>估价结果一览表</v>
      </c>
      <c r="B1" s="3004"/>
      <c r="C1" s="3004"/>
      <c r="D1" s="3004"/>
      <c r="E1" s="3004"/>
      <c r="F1" s="3004"/>
      <c r="G1" s="3004"/>
      <c r="H1" s="3004"/>
      <c r="I1" s="3004"/>
    </row>
    <row r="2" spans="1:9" ht="30" customHeight="1" thickTop="1">
      <c r="A2" s="3005" t="s">
        <v>1365</v>
      </c>
      <c r="B2" s="3005" t="s">
        <v>1366</v>
      </c>
      <c r="C2" s="3005" t="s">
        <v>1367</v>
      </c>
      <c r="D2" s="3005" t="str">
        <f>结果表!D116</f>
        <v>出让国有建设用地使用权价值</v>
      </c>
      <c r="E2" s="3005"/>
      <c r="F2" s="3005" t="str">
        <f>结果表!F116</f>
        <v>在建建筑物价值</v>
      </c>
      <c r="G2" s="3005"/>
      <c r="H2" s="3005" t="str">
        <f>IF(项目基本情况!B9="房地产市场价值","房地产市场价值","房地产价值")</f>
        <v>房地产市场价值</v>
      </c>
      <c r="I2" s="3005"/>
    </row>
    <row r="3" spans="1:9" ht="15">
      <c r="A3" s="3006"/>
      <c r="B3" s="3006"/>
      <c r="C3" s="3006"/>
      <c r="D3" s="886" t="s">
        <v>1362</v>
      </c>
      <c r="E3" s="886" t="s">
        <v>1368</v>
      </c>
      <c r="F3" s="886" t="s">
        <v>1362</v>
      </c>
      <c r="G3" s="886" t="s">
        <v>1363</v>
      </c>
      <c r="H3" s="886" t="s">
        <v>1362</v>
      </c>
      <c r="I3" s="886" t="s">
        <v>1363</v>
      </c>
    </row>
    <row r="4" spans="1:9" ht="15">
      <c r="A4" s="1533" t="str">
        <f>项目基本情况!S2</f>
        <v>北京市房地产</v>
      </c>
      <c r="B4" s="886">
        <f>项目基本情况!C17</f>
        <v>11320.8</v>
      </c>
      <c r="C4" s="886">
        <f>项目基本情况!C18</f>
        <v>8778.75</v>
      </c>
      <c r="D4" s="886" t="e">
        <f ca="1">结果表!D118</f>
        <v>#REF!</v>
      </c>
      <c r="E4" s="886" t="e">
        <f ca="1">结果表!E118</f>
        <v>#REF!</v>
      </c>
      <c r="F4" s="886" t="e">
        <f ca="1">结果表!F118</f>
        <v>#REF!</v>
      </c>
      <c r="G4" s="886" t="e">
        <f ca="1">结果表!G118</f>
        <v>#REF!</v>
      </c>
      <c r="H4" s="886" t="e">
        <f ca="1">结果表!H118</f>
        <v>#REF!</v>
      </c>
      <c r="I4" s="886" t="e">
        <f ca="1">结果表!I118</f>
        <v>#REF!</v>
      </c>
    </row>
    <row r="5" spans="1:9" ht="30" customHeight="1">
      <c r="A5" s="3006" t="s">
        <v>1364</v>
      </c>
      <c r="B5" s="3006"/>
      <c r="C5" s="3006"/>
      <c r="D5" s="3007" t="e">
        <f ca="1">结果表!D119</f>
        <v>#REF!</v>
      </c>
      <c r="E5" s="3007"/>
      <c r="F5" s="3007" t="e">
        <f ca="1">结果表!F119</f>
        <v>#REF!</v>
      </c>
      <c r="G5" s="3007"/>
      <c r="H5" s="3007" t="e">
        <f ca="1">结果表!H119</f>
        <v>#REF!</v>
      </c>
      <c r="I5" s="3007"/>
    </row>
    <row r="6" spans="1:9" ht="15.75">
      <c r="A6" s="3008" t="str">
        <f>结果表!A120</f>
        <v/>
      </c>
      <c r="B6" s="3008"/>
      <c r="C6" s="3008"/>
      <c r="D6" s="3008">
        <f>结果表!D120</f>
        <v>0</v>
      </c>
      <c r="E6" s="3008"/>
      <c r="F6" s="3008"/>
      <c r="G6" s="3008"/>
      <c r="H6" s="3008"/>
      <c r="I6" s="3008"/>
    </row>
    <row r="7" spans="1:9" ht="15">
      <c r="A7" s="3006" t="s">
        <v>1364</v>
      </c>
      <c r="B7" s="3006"/>
      <c r="C7" s="3006"/>
      <c r="D7" s="3009" t="str">
        <f>结果表!D121</f>
        <v>零元整</v>
      </c>
      <c r="E7" s="3010"/>
      <c r="F7" s="3010"/>
      <c r="G7" s="3010"/>
      <c r="H7" s="3010"/>
      <c r="I7" s="3011"/>
    </row>
    <row r="8" spans="1:9" ht="15.75">
      <c r="A8" s="3008" t="str">
        <f>结果表!A122</f>
        <v/>
      </c>
      <c r="B8" s="3008"/>
      <c r="C8" s="3008"/>
      <c r="D8" s="3008" t="e">
        <f ca="1">结果表!D122</f>
        <v>#REF!</v>
      </c>
      <c r="E8" s="3008"/>
      <c r="F8" s="3008"/>
      <c r="G8" s="3008"/>
      <c r="H8" s="3008"/>
      <c r="I8" s="3008"/>
    </row>
    <row r="9" spans="1:9" ht="15">
      <c r="A9" s="3006" t="s">
        <v>1364</v>
      </c>
      <c r="B9" s="3006"/>
      <c r="C9" s="3006"/>
      <c r="D9" s="3007" t="e">
        <f ca="1">结果表!D123</f>
        <v>#REF!</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1364</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1364</v>
      </c>
      <c r="B13" s="3012"/>
      <c r="C13" s="3012"/>
      <c r="D13" s="3013" t="e">
        <f>结果表!D127</f>
        <v>#VALUE!</v>
      </c>
      <c r="E13" s="3013"/>
      <c r="F13" s="3013"/>
      <c r="G13" s="3013"/>
      <c r="H13" s="3013"/>
      <c r="I13" s="3013"/>
    </row>
    <row r="14" spans="1:9" ht="15" thickTop="1">
      <c r="A14" s="3014" t="s">
        <v>1369</v>
      </c>
      <c r="B14" s="3014"/>
      <c r="C14" s="3014"/>
      <c r="D14" s="3014"/>
      <c r="E14" s="3014"/>
      <c r="F14" s="3014"/>
      <c r="G14" s="3014"/>
      <c r="H14" s="3014"/>
      <c r="I14" s="3014"/>
    </row>
    <row r="16" spans="1:9" ht="18.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015" t="s">
        <v>1386</v>
      </c>
      <c r="B1" s="3015"/>
      <c r="C1" s="3015"/>
      <c r="D1" s="3015"/>
    </row>
    <row r="2" spans="1:4" ht="18">
      <c r="A2" s="3016" t="s">
        <v>1370</v>
      </c>
      <c r="B2" s="3016"/>
      <c r="C2" s="3016"/>
      <c r="D2" s="3016"/>
    </row>
    <row r="3" spans="1:4" ht="18.75">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8">
      <c r="A6" s="3016" t="s">
        <v>1376</v>
      </c>
      <c r="B6" s="3016"/>
      <c r="C6" s="3016"/>
      <c r="D6" s="3016"/>
    </row>
    <row r="7" spans="1:4" ht="18.75">
      <c r="A7" s="1537" t="s">
        <v>1371</v>
      </c>
      <c r="B7" s="1539" t="s">
        <v>1377</v>
      </c>
      <c r="C7" s="1537" t="s">
        <v>1373</v>
      </c>
      <c r="D7" s="1537" t="s">
        <v>1374</v>
      </c>
    </row>
    <row r="8" spans="1:4" ht="56.25" customHeight="1">
      <c r="A8" s="1543" t="s">
        <v>656</v>
      </c>
      <c r="B8" s="1543" t="s">
        <v>1</v>
      </c>
      <c r="C8" s="1540"/>
      <c r="D8" s="1541" t="s">
        <v>1375</v>
      </c>
    </row>
    <row r="10" spans="1:4" ht="18.75">
      <c r="A10" s="1544" t="s">
        <v>1378</v>
      </c>
    </row>
    <row r="11" spans="1:4" ht="30" customHeight="1">
      <c r="A11" s="3017" t="s">
        <v>1379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9"/>
      <c r="C12" s="3019"/>
      <c r="D12" s="3019"/>
    </row>
    <row r="13" spans="1:4" ht="30" customHeight="1">
      <c r="A13" s="3018" t="str">
        <f>IF(项目基本情况!B8="抵押","3.抵押双方在办理抵押登记手续时，应使用本公司出具的正式《房地产评估报告》，特提醒报告使用者注意。","——")</f>
        <v>——</v>
      </c>
      <c r="B13" s="3019"/>
      <c r="C13" s="3019"/>
      <c r="D13" s="3019"/>
    </row>
    <row r="14" spans="1:4" ht="15.75" customHeight="1">
      <c r="A14" s="3018" t="str">
        <f>IF(项目基本情况!B8="抵押","4.本次评估估价师所知悉的法定优先受偿款情况说明如下：","——")</f>
        <v>——</v>
      </c>
      <c r="B14" s="3019"/>
      <c r="C14" s="3019"/>
      <c r="D14" s="3019"/>
    </row>
    <row r="15" spans="1:4" ht="42" customHeight="1">
      <c r="A15" s="3018" t="str">
        <f>IF(项目基本情况!B8="抵押","（1）"&amp;CONCATENATE(项目基本情况!L20,项目基本情况!L21,项目基本情况!L22),"——")</f>
        <v>——</v>
      </c>
      <c r="B15" s="3018"/>
      <c r="C15" s="3018"/>
      <c r="D15" s="3018"/>
    </row>
    <row r="16" spans="1:4" ht="30" customHeight="1">
      <c r="A16" s="3021" t="s">
        <v>1380</v>
      </c>
      <c r="B16" s="3021"/>
      <c r="C16" s="3021"/>
      <c r="D16" s="3021"/>
    </row>
    <row r="17" spans="1:4" ht="144" customHeight="1">
      <c r="A17" s="3021" t="s">
        <v>1381</v>
      </c>
      <c r="B17" s="3021"/>
      <c r="C17" s="3021"/>
      <c r="D17" s="3021"/>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1382</v>
      </c>
      <c r="B22" s="3023"/>
      <c r="C22" s="3023"/>
      <c r="D22" s="3023"/>
    </row>
    <row r="23" spans="1:4">
      <c r="A23" s="1545"/>
      <c r="B23" s="467"/>
      <c r="C23" s="467"/>
      <c r="D23" s="467"/>
    </row>
    <row r="24" spans="1:4">
      <c r="A24" s="1545"/>
      <c r="B24" s="467"/>
      <c r="C24" s="467"/>
      <c r="D24" s="467"/>
    </row>
    <row r="25" spans="1:4" ht="18.75">
      <c r="A25" s="1546" t="s">
        <v>1383</v>
      </c>
    </row>
    <row r="26" spans="1:4" ht="18">
      <c r="A26" s="1517"/>
    </row>
    <row r="27" spans="1:4" ht="18.75">
      <c r="A27" s="1517" t="s">
        <v>1384</v>
      </c>
    </row>
    <row r="30" spans="1:4" ht="18.75">
      <c r="D30" s="1546" t="s">
        <v>1385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3.5">
      <c r="A15" s="3029" t="s">
        <v>1393</v>
      </c>
      <c r="B15" s="3024" t="s">
        <v>136</v>
      </c>
      <c r="C15" s="3025"/>
    </row>
    <row r="16" spans="1:7" ht="13.5">
      <c r="A16" s="3030"/>
      <c r="B16" s="3024" t="s">
        <v>69</v>
      </c>
      <c r="C16" s="3025"/>
    </row>
    <row r="17" spans="1:3" ht="13.5">
      <c r="A17" s="3030"/>
      <c r="B17" s="3027" t="s">
        <v>1394</v>
      </c>
      <c r="C17" s="1559" t="s">
        <v>1393</v>
      </c>
    </row>
    <row r="18" spans="1:3" ht="13.5">
      <c r="A18" s="3030"/>
      <c r="B18" s="3027"/>
      <c r="C18" s="1559" t="s">
        <v>1395</v>
      </c>
    </row>
    <row r="19" spans="1:3" ht="13.5">
      <c r="A19" s="3030"/>
      <c r="B19" s="3027"/>
      <c r="C19" s="1559" t="s">
        <v>1396</v>
      </c>
    </row>
    <row r="20" spans="1:3" ht="13.5">
      <c r="A20" s="3031"/>
      <c r="B20" s="3026" t="s">
        <v>1397</v>
      </c>
      <c r="C20" s="3025"/>
    </row>
    <row r="21" spans="1:3" ht="13.5">
      <c r="A21" s="1560" t="s">
        <v>1398</v>
      </c>
      <c r="B21" s="1561"/>
      <c r="C21" s="1562"/>
    </row>
    <row r="22" spans="1:3" ht="13.5">
      <c r="A22" s="3028" t="s">
        <v>1399</v>
      </c>
      <c r="B22" s="3026" t="s">
        <v>1400</v>
      </c>
      <c r="C22" s="3025"/>
    </row>
    <row r="23" spans="1:3" ht="13.5">
      <c r="A23" s="3028"/>
      <c r="B23" s="3026" t="s">
        <v>1401</v>
      </c>
      <c r="C23" s="3025"/>
    </row>
    <row r="24" spans="1:3" ht="13.5">
      <c r="A24" s="3028"/>
      <c r="B24" s="3026" t="s">
        <v>1402</v>
      </c>
      <c r="C24" s="3025"/>
    </row>
    <row r="25" spans="1:3" ht="13.5">
      <c r="A25" s="3028"/>
      <c r="B25" s="3027" t="s">
        <v>1403</v>
      </c>
      <c r="C25" s="1559" t="s">
        <v>1404</v>
      </c>
    </row>
    <row r="26" spans="1:3" ht="13.5">
      <c r="A26" s="3028"/>
      <c r="B26" s="3027"/>
      <c r="C26" s="1559" t="s">
        <v>1405</v>
      </c>
    </row>
    <row r="27" spans="1:3" ht="13.5">
      <c r="A27" s="3028"/>
      <c r="B27" s="3027"/>
      <c r="C27" s="1559" t="s">
        <v>1406</v>
      </c>
    </row>
    <row r="28" spans="1:3" ht="13.5">
      <c r="A28" s="3028"/>
      <c r="B28" s="3027"/>
      <c r="C28" s="1559" t="s">
        <v>1407</v>
      </c>
    </row>
    <row r="29" spans="1:3" ht="13.5">
      <c r="A29" s="3028"/>
      <c r="B29" s="3027"/>
      <c r="C29" s="1559" t="s">
        <v>1408</v>
      </c>
    </row>
    <row r="30" spans="1:3" ht="13.5">
      <c r="A30" s="3028"/>
      <c r="B30" s="3027"/>
      <c r="C30" s="1559" t="s">
        <v>1409</v>
      </c>
    </row>
    <row r="31" spans="1:3" ht="13.5">
      <c r="A31" s="3028"/>
      <c r="B31" s="3027"/>
      <c r="C31" s="1559" t="s">
        <v>1410</v>
      </c>
    </row>
    <row r="32" spans="1:3" ht="13.5">
      <c r="A32" s="3028"/>
      <c r="B32" s="3027"/>
      <c r="C32" s="1559" t="s">
        <v>1411</v>
      </c>
    </row>
    <row r="33" spans="1:3" ht="13.5">
      <c r="A33" s="3028"/>
      <c r="B33" s="3027"/>
      <c r="C33" s="1559" t="s">
        <v>1412</v>
      </c>
    </row>
    <row r="34" spans="1:3">
      <c r="A34" s="1563" t="s">
        <v>76</v>
      </c>
    </row>
    <row r="37" spans="1:3">
      <c r="A37" s="1563" t="s">
        <v>1413</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2641</v>
      </c>
      <c r="B2" s="2319">
        <f ca="1">TODAY()</f>
        <v>44921</v>
      </c>
      <c r="C2" s="2320" t="s">
        <v>2642</v>
      </c>
      <c r="D2" s="2320"/>
      <c r="E2" s="2320"/>
      <c r="F2" s="2316"/>
      <c r="G2" s="2316"/>
      <c r="H2" s="2316"/>
    </row>
    <row r="3" spans="1:8" ht="24" customHeight="1">
      <c r="A3" s="2321" t="s">
        <v>2643</v>
      </c>
      <c r="B3" s="1334" t="s">
        <v>2644</v>
      </c>
      <c r="C3" s="1334" t="s">
        <v>2645</v>
      </c>
      <c r="D3" s="2322" t="s">
        <v>2646</v>
      </c>
      <c r="E3" s="2323" t="s">
        <v>2647</v>
      </c>
      <c r="F3" s="1334" t="s">
        <v>2648</v>
      </c>
      <c r="G3" s="1334" t="s">
        <v>2645</v>
      </c>
      <c r="H3" s="2322" t="s">
        <v>2649</v>
      </c>
    </row>
    <row r="4" spans="1:8" ht="24" customHeight="1">
      <c r="A4" s="1334" t="s">
        <v>2650</v>
      </c>
      <c r="B4" s="1334" t="str">
        <f ca="1">IF(C4&lt;B2,"已过期",1119970066)</f>
        <v>已过期</v>
      </c>
      <c r="C4" s="2324">
        <v>44876</v>
      </c>
      <c r="D4" s="2325" t="str">
        <f ca="1">A4&amp;"（注册号："&amp;B4&amp;"）"</f>
        <v>梁津（注册号：已过期）</v>
      </c>
      <c r="E4" s="2326" t="s">
        <v>2650</v>
      </c>
      <c r="F4" s="1334">
        <f ca="1">IF(G4&lt;B2,"已过期",96010014)</f>
        <v>96010014</v>
      </c>
      <c r="G4" s="2327">
        <v>47118</v>
      </c>
      <c r="H4" s="2328" t="str">
        <f ca="1">E4&amp;"（注册号："&amp;F4&amp;"）"</f>
        <v>梁津（注册号：96010014）</v>
      </c>
    </row>
    <row r="5" spans="1:8" ht="24" customHeight="1">
      <c r="A5" s="1334" t="s">
        <v>2651</v>
      </c>
      <c r="B5" s="1334" t="str">
        <f ca="1">IF(C5&lt;B2,"已过期",1119970111)</f>
        <v>已过期</v>
      </c>
      <c r="C5" s="2324">
        <v>44876</v>
      </c>
      <c r="D5" s="2325" t="str">
        <f t="shared" ref="D5:D15" ca="1" si="0">A5&amp;"（注册号："&amp;B5&amp;"）"</f>
        <v>叶凌（注册号：已过期）</v>
      </c>
      <c r="E5" s="2326" t="s">
        <v>2651</v>
      </c>
      <c r="F5" s="1334">
        <f ca="1">IF(G5&lt;B2,"已过期",94010078)</f>
        <v>94010078</v>
      </c>
      <c r="G5" s="2327">
        <v>46387</v>
      </c>
      <c r="H5" s="2328" t="str">
        <f t="shared" ref="H5:H16" ca="1" si="1">E5&amp;"（注册号："&amp;F5&amp;"）"</f>
        <v>叶凌（注册号：94010078）</v>
      </c>
    </row>
    <row r="6" spans="1:8" ht="24" customHeight="1">
      <c r="A6" s="1334" t="s">
        <v>2652</v>
      </c>
      <c r="B6" s="1334">
        <f ca="1">IF(C6&lt;B2,"已过期",1120050019)</f>
        <v>1120050019</v>
      </c>
      <c r="C6" s="2324">
        <v>45410</v>
      </c>
      <c r="D6" s="2325" t="str">
        <f t="shared" ca="1" si="0"/>
        <v>王鹏（注册号：1120050019）</v>
      </c>
      <c r="E6" s="2326" t="s">
        <v>2652</v>
      </c>
      <c r="F6" s="1334">
        <f ca="1">IF(G6&lt;B2,"已过期",2002110030)</f>
        <v>2002110030</v>
      </c>
      <c r="G6" s="2327">
        <v>46387</v>
      </c>
      <c r="H6" s="2328" t="str">
        <f t="shared" ca="1" si="1"/>
        <v>王鹏（注册号：2002110030）</v>
      </c>
    </row>
    <row r="7" spans="1:8" ht="24" customHeight="1">
      <c r="A7" s="1334" t="s">
        <v>2653</v>
      </c>
      <c r="B7" s="1334" t="str">
        <f ca="1">IF(C7&lt;B2,"已过期",1120000080)</f>
        <v>已过期</v>
      </c>
      <c r="C7" s="2324">
        <v>44876</v>
      </c>
      <c r="D7" s="2325" t="str">
        <f t="shared" ca="1" si="0"/>
        <v>欧红伟（注册号：已过期）</v>
      </c>
      <c r="E7" s="2326" t="s">
        <v>2653</v>
      </c>
      <c r="F7" s="1334">
        <f ca="1">IF(G7&lt;B2,"已过期",2000110082)</f>
        <v>2000110082</v>
      </c>
      <c r="G7" s="2327">
        <v>46387</v>
      </c>
      <c r="H7" s="2328" t="str">
        <f t="shared" ca="1" si="1"/>
        <v>欧红伟（注册号：2000110082）</v>
      </c>
    </row>
    <row r="8" spans="1:8" ht="24" customHeight="1">
      <c r="A8" s="1334" t="s">
        <v>2654</v>
      </c>
      <c r="B8" s="1334" t="str">
        <f ca="1">IF(C8&lt;B2,"已过期",1419970001)</f>
        <v>已过期</v>
      </c>
      <c r="C8" s="2324">
        <v>44899</v>
      </c>
      <c r="D8" s="2325" t="str">
        <f t="shared" ca="1" si="0"/>
        <v>吴薇（注册号：已过期）</v>
      </c>
      <c r="E8" s="2326" t="s">
        <v>2654</v>
      </c>
      <c r="F8" s="1334">
        <f ca="1">IF(G8&lt;B2,"已过期",2002110125)</f>
        <v>2002110125</v>
      </c>
      <c r="G8" s="2327">
        <v>47118</v>
      </c>
      <c r="H8" s="2328" t="str">
        <f t="shared" ca="1" si="1"/>
        <v>吴薇（注册号：2002110125）</v>
      </c>
    </row>
    <row r="9" spans="1:8" ht="24" customHeight="1">
      <c r="A9" s="1334" t="s">
        <v>2655</v>
      </c>
      <c r="B9" s="1334">
        <f ca="1">IF(C9&lt;B2,"已过期",1120060040)</f>
        <v>1120060040</v>
      </c>
      <c r="C9" s="2329">
        <v>45592</v>
      </c>
      <c r="D9" s="2325" t="str">
        <f t="shared" ca="1" si="0"/>
        <v>陈颖（注册号：1120060040）</v>
      </c>
      <c r="E9" s="2326" t="s">
        <v>2655</v>
      </c>
      <c r="F9" s="1334">
        <f ca="1">IF(G9&lt;B2,"已过期",2004110096)</f>
        <v>2004110096</v>
      </c>
      <c r="G9" s="2327">
        <v>47118</v>
      </c>
      <c r="H9" s="2328" t="str">
        <f t="shared" ca="1" si="1"/>
        <v>陈颖（注册号：2004110096）</v>
      </c>
    </row>
    <row r="10" spans="1:8" ht="24" customHeight="1">
      <c r="A10" s="1334" t="s">
        <v>2656</v>
      </c>
      <c r="B10" s="1334" t="str">
        <f ca="1">IF(C10&lt;B2,"已过期",1120100036)</f>
        <v>已过期</v>
      </c>
      <c r="C10" s="2329">
        <v>44675</v>
      </c>
      <c r="D10" s="2325" t="str">
        <f t="shared" ca="1" si="0"/>
        <v>崔锴（注册号：已过期）</v>
      </c>
      <c r="E10" s="2326" t="s">
        <v>2656</v>
      </c>
      <c r="F10" s="1334">
        <f ca="1">IF(G10&lt;B2,"已过期",2010110070)</f>
        <v>2010110070</v>
      </c>
      <c r="G10" s="2327">
        <v>47907</v>
      </c>
      <c r="H10" s="2328" t="str">
        <f t="shared" ca="1" si="1"/>
        <v>崔锴（注册号：2010110070）</v>
      </c>
    </row>
    <row r="11" spans="1:8" ht="24" customHeight="1">
      <c r="A11" s="1334" t="s">
        <v>2657</v>
      </c>
      <c r="B11" s="1334" t="str">
        <f ca="1">IF(C11&lt;B2,"已过期",1120070131)</f>
        <v>已过期</v>
      </c>
      <c r="C11" s="2324">
        <v>44849</v>
      </c>
      <c r="D11" s="2325" t="str">
        <f t="shared" ca="1" si="0"/>
        <v>郑燚（注册号：已过期）</v>
      </c>
      <c r="E11" s="2326" t="s">
        <v>2657</v>
      </c>
      <c r="F11" s="1334">
        <f ca="1">IF(G11&lt;B2,"已过期",2014110011)</f>
        <v>2014110011</v>
      </c>
      <c r="G11" s="2327">
        <v>49302</v>
      </c>
      <c r="H11" s="2328" t="str">
        <f t="shared" ca="1" si="1"/>
        <v>郑燚（注册号：2014110011）</v>
      </c>
    </row>
    <row r="12" spans="1:8" ht="24" customHeight="1">
      <c r="A12" s="1334" t="s">
        <v>2658</v>
      </c>
      <c r="B12" s="1334" t="str">
        <f ca="1">IF(C12&lt;B2,"已过期",1120040230)</f>
        <v>已过期</v>
      </c>
      <c r="C12" s="2329">
        <v>44864</v>
      </c>
      <c r="D12" s="2325" t="str">
        <f t="shared" ca="1" si="0"/>
        <v>苏海（注册号：已过期）</v>
      </c>
      <c r="E12" s="2326" t="s">
        <v>2658</v>
      </c>
      <c r="F12" s="1334">
        <f ca="1">IF(G12&lt;B2,"已过期",98030020)</f>
        <v>98030020</v>
      </c>
      <c r="G12" s="2327">
        <v>47118</v>
      </c>
      <c r="H12" s="2328" t="str">
        <f t="shared" ca="1" si="1"/>
        <v>苏海（注册号：98030020）</v>
      </c>
    </row>
    <row r="13" spans="1:8" ht="24" customHeight="1">
      <c r="A13" s="1334" t="s">
        <v>2659</v>
      </c>
      <c r="B13" s="1334" t="str">
        <f ca="1">IF(C13&lt;B2,"已过期",1120020033)</f>
        <v>已过期</v>
      </c>
      <c r="C13" s="2324">
        <v>44339</v>
      </c>
      <c r="D13" s="2325" t="str">
        <f t="shared" ca="1" si="0"/>
        <v>刘敬东（注册号：已过期）</v>
      </c>
      <c r="E13" s="2326" t="s">
        <v>2659</v>
      </c>
      <c r="F13" s="1334">
        <f ca="1">IF(G13&lt;B2,"已过期",2000110137)</f>
        <v>2000110137</v>
      </c>
      <c r="G13" s="2327">
        <v>46387</v>
      </c>
      <c r="H13" s="2328" t="str">
        <f t="shared" ca="1" si="1"/>
        <v>刘敬东（注册号：2000110137）</v>
      </c>
    </row>
    <row r="14" spans="1:8" ht="24" customHeight="1">
      <c r="A14" s="1334" t="s">
        <v>2660</v>
      </c>
      <c r="B14" s="1334">
        <f ca="1">IF(C14&lt;B2,"已过期",1119980106)</f>
        <v>1119980106</v>
      </c>
      <c r="C14" s="2329">
        <v>44969</v>
      </c>
      <c r="D14" s="2325" t="str">
        <f t="shared" ca="1" si="0"/>
        <v>刘俊财（注册号：1119980106）</v>
      </c>
      <c r="E14" s="2326" t="s">
        <v>2660</v>
      </c>
      <c r="F14" s="1334">
        <f ca="1">IF(G14&lt;B2,"已过期",96010063)</f>
        <v>96010063</v>
      </c>
      <c r="G14" s="2327">
        <v>47483</v>
      </c>
      <c r="H14" s="2328" t="str">
        <f t="shared" ca="1" si="1"/>
        <v>刘俊财（注册号：96010063）</v>
      </c>
    </row>
    <row r="15" spans="1:8" ht="24" customHeight="1">
      <c r="A15" s="1334" t="s">
        <v>2945</v>
      </c>
      <c r="B15" s="1334">
        <v>1120210056</v>
      </c>
      <c r="C15" s="2329">
        <v>45410</v>
      </c>
      <c r="D15" s="2325" t="str">
        <f t="shared" si="0"/>
        <v>宁小鳗（注册号：1120210056）</v>
      </c>
      <c r="E15" s="2326" t="s">
        <v>2661</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32" t="s">
        <v>2662</v>
      </c>
      <c r="B17" s="3032"/>
      <c r="C17" s="3032"/>
      <c r="D17" s="3032"/>
      <c r="E17" s="3032"/>
      <c r="F17" s="3032"/>
      <c r="G17" s="3032"/>
      <c r="H17" s="3032"/>
    </row>
    <row r="18" spans="1:8" ht="24" customHeight="1">
      <c r="A18" s="3033" t="s">
        <v>2663</v>
      </c>
      <c r="B18" s="3033"/>
      <c r="C18" s="3033"/>
      <c r="D18" s="2322"/>
      <c r="E18" s="3034" t="s">
        <v>2664</v>
      </c>
      <c r="F18" s="3033"/>
      <c r="G18" s="3033"/>
    </row>
    <row r="19" spans="1:8" s="2332" customFormat="1" ht="24" customHeight="1">
      <c r="A19" s="2331" t="s">
        <v>2665</v>
      </c>
      <c r="B19" s="1334" t="s">
        <v>2666</v>
      </c>
      <c r="C19" s="1334" t="s">
        <v>2645</v>
      </c>
      <c r="D19" s="2322"/>
      <c r="E19" s="2326" t="s">
        <v>2665</v>
      </c>
      <c r="F19" s="1334" t="s">
        <v>2666</v>
      </c>
      <c r="G19" s="1334" t="s">
        <v>2645</v>
      </c>
    </row>
    <row r="20" spans="1:8" s="2332" customFormat="1" ht="24" customHeight="1">
      <c r="A20" s="2333" t="s">
        <v>2667</v>
      </c>
      <c r="B20" s="2333" t="s">
        <v>2668</v>
      </c>
      <c r="C20" s="2327">
        <v>44820</v>
      </c>
      <c r="D20" s="2334"/>
      <c r="E20" s="2335" t="s">
        <v>2669</v>
      </c>
      <c r="F20" s="2338" t="s">
        <v>2946</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2022-12-26T04:47:22Z</dcterms:modified>
</cp:coreProperties>
</file>