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2022-1-0632水道子胡同15号-农行租金评估\2022-1-0632水道子胡同15号-农行租金评估\"/>
    </mc:Choice>
  </mc:AlternateContent>
  <xr:revisionPtr revIDLastSave="0" documentId="13_ncr:1_{D8EAAF8D-1D78-429B-BF65-F5BA7451E13E}" xr6:coauthVersionLast="47" xr6:coauthVersionMax="47" xr10:uidLastSave="{00000000-0000-0000-0000-000000000000}"/>
  <bookViews>
    <workbookView xWindow="-110" yWindow="-110" windowWidth="19420" windowHeight="103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35" i="43" l="1"/>
  <c r="AA31"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V11" i="78" l="1"/>
  <c r="U11" i="78"/>
  <c r="R10" i="78"/>
  <c r="W30" i="78"/>
  <c r="N30" i="78"/>
  <c r="M30" i="78"/>
  <c r="P30" i="78" s="1"/>
  <c r="L30" i="78"/>
  <c r="I30" i="78"/>
  <c r="N29" i="78"/>
  <c r="U29" i="78" s="1"/>
  <c r="M29" i="78"/>
  <c r="P29" i="78" s="1"/>
  <c r="L29" i="78"/>
  <c r="S28" i="78" s="1"/>
  <c r="I29" i="78"/>
  <c r="N28" i="78"/>
  <c r="M28" i="78"/>
  <c r="P28" i="78" s="1"/>
  <c r="L28" i="78"/>
  <c r="I28" i="78"/>
  <c r="N27" i="78"/>
  <c r="M27" i="78"/>
  <c r="P27" i="78" s="1"/>
  <c r="L27" i="78"/>
  <c r="I27" i="78"/>
  <c r="N26" i="78"/>
  <c r="M26" i="78"/>
  <c r="P26" i="78" s="1"/>
  <c r="L26" i="78"/>
  <c r="I26" i="78"/>
  <c r="N25" i="78"/>
  <c r="M25" i="78"/>
  <c r="L25" i="78"/>
  <c r="I25" i="78"/>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O12" i="78"/>
  <c r="V12" i="78" s="1"/>
  <c r="O13" i="78"/>
  <c r="I13" i="78"/>
  <c r="I12" i="78"/>
  <c r="I11" i="78"/>
  <c r="I10" i="78"/>
  <c r="I9" i="78"/>
  <c r="M5" i="78"/>
  <c r="P5" i="78" s="1"/>
  <c r="N5" i="78"/>
  <c r="M6" i="78"/>
  <c r="P6" i="78" s="1"/>
  <c r="N6" i="78"/>
  <c r="M7" i="78"/>
  <c r="N7" i="78"/>
  <c r="M8" i="78"/>
  <c r="N8" i="78"/>
  <c r="M9" i="78"/>
  <c r="P9" i="78" s="1"/>
  <c r="N9" i="78"/>
  <c r="M10" i="78"/>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K9" i="78"/>
  <c r="R9" i="78" s="1"/>
  <c r="L8" i="78"/>
  <c r="K8" i="78"/>
  <c r="R5" i="78" s="1"/>
  <c r="L7" i="78"/>
  <c r="K7" i="78"/>
  <c r="L6" i="78"/>
  <c r="K6" i="78"/>
  <c r="L5" i="78"/>
  <c r="K5" i="78"/>
  <c r="S10" i="78" l="1"/>
  <c r="S26" i="78"/>
  <c r="S9" i="78"/>
  <c r="T10" i="78"/>
  <c r="U9" i="78"/>
  <c r="AD25"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c r="D95" i="43"/>
  <c r="M94" i="43"/>
  <c r="N94" i="43" s="1"/>
  <c r="K94" i="43"/>
  <c r="J94" i="43" s="1"/>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F36" i="77"/>
  <c r="R34" i="77"/>
  <c r="R33" i="77"/>
  <c r="C30" i="77"/>
  <c r="R27" i="77"/>
  <c r="M24" i="77"/>
  <c r="R23" i="77"/>
  <c r="R24" i="77" s="1"/>
  <c r="D23" i="77"/>
  <c r="E23" i="77" s="1"/>
  <c r="D38" i="77"/>
  <c r="D39" i="77"/>
  <c r="C23" i="77"/>
  <c r="C29" i="77" s="1"/>
  <c r="R22" i="77"/>
  <c r="R21" i="77"/>
  <c r="N19" i="77"/>
  <c r="R18" i="77"/>
  <c r="R19" i="77" s="1"/>
  <c r="D18" i="77"/>
  <c r="R17" i="77"/>
  <c r="D17" i="77"/>
  <c r="R16" i="77"/>
  <c r="D16" i="77"/>
  <c r="D15" i="77"/>
  <c r="M14" i="77"/>
  <c r="N14" i="77" s="1"/>
  <c r="D14" i="77"/>
  <c r="R13" i="77"/>
  <c r="R12" i="77"/>
  <c r="D12" i="77"/>
  <c r="D11" i="77" s="1"/>
  <c r="R11" i="77"/>
  <c r="R10" i="77"/>
  <c r="D10" i="77"/>
  <c r="R9" i="77"/>
  <c r="D9" i="77"/>
  <c r="R8" i="77"/>
  <c r="R7" i="77"/>
  <c r="R4" i="77"/>
  <c r="R3" i="77"/>
  <c r="D29"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G25" i="71" s="1"/>
  <c r="Q25" i="71"/>
  <c r="F25" i="71" s="1"/>
  <c r="F24" i="71" s="1"/>
  <c r="F23" i="71" s="1"/>
  <c r="F22" i="71" s="1"/>
  <c r="F21" i="71" s="1"/>
  <c r="F20" i="71" s="1"/>
  <c r="F19" i="71" s="1"/>
  <c r="F18" i="71" s="1"/>
  <c r="P25" i="71"/>
  <c r="C25" i="71" s="1"/>
  <c r="R26" i="71"/>
  <c r="Q26" i="71"/>
  <c r="P26" i="71"/>
  <c r="O26" i="71"/>
  <c r="B25" i="71"/>
  <c r="B24" i="71" s="1"/>
  <c r="A2" i="53"/>
  <c r="B19" i="72" s="1"/>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c r="B44" i="72"/>
  <c r="B42" i="72"/>
  <c r="B69" i="72"/>
  <c r="B68" i="72"/>
  <c r="B63" i="72"/>
  <c r="B62" i="72"/>
  <c r="B60" i="72"/>
  <c r="B67" i="72"/>
  <c r="B66" i="72"/>
  <c r="B10" i="72"/>
  <c r="C53" i="10"/>
  <c r="B51" i="10"/>
  <c r="A18" i="51"/>
  <c r="B13" i="72" s="1"/>
  <c r="C8" i="68"/>
  <c r="B49" i="48"/>
  <c r="B5" i="72"/>
  <c r="I23" i="43"/>
  <c r="D90" i="71"/>
  <c r="G89" i="71"/>
  <c r="G88" i="71" s="1"/>
  <c r="G87" i="71" s="1"/>
  <c r="F89" i="71"/>
  <c r="F88" i="71"/>
  <c r="F87" i="71" s="1"/>
  <c r="C89" i="7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c r="F77" i="71"/>
  <c r="V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V69" i="71" s="1"/>
  <c r="Q69" i="71"/>
  <c r="C69" i="71"/>
  <c r="B69" i="71"/>
  <c r="T69" i="71" s="1"/>
  <c r="D66" i="71"/>
  <c r="R65" i="71"/>
  <c r="Q65" i="71"/>
  <c r="P65" i="71"/>
  <c r="O65" i="71"/>
  <c r="R64" i="71"/>
  <c r="Q64" i="71"/>
  <c r="P64" i="71"/>
  <c r="O64" i="71"/>
  <c r="R63" i="71"/>
  <c r="Q63" i="71"/>
  <c r="P63" i="71"/>
  <c r="O63" i="71"/>
  <c r="R62" i="71"/>
  <c r="G63" i="71" s="1"/>
  <c r="G64" i="71" s="1"/>
  <c r="G65" i="71" s="1"/>
  <c r="W65" i="71" s="1"/>
  <c r="Q62" i="71"/>
  <c r="F63" i="71" s="1"/>
  <c r="P62" i="71"/>
  <c r="C63" i="71" s="1"/>
  <c r="O62" i="71"/>
  <c r="B63" i="71" s="1"/>
  <c r="D62" i="71"/>
  <c r="R61" i="71"/>
  <c r="Q61" i="71"/>
  <c r="P61" i="71"/>
  <c r="O61" i="71"/>
  <c r="R60" i="71"/>
  <c r="Q60" i="71"/>
  <c r="P60" i="71"/>
  <c r="O60" i="71"/>
  <c r="R59" i="71"/>
  <c r="Q59" i="71"/>
  <c r="P59" i="71"/>
  <c r="O59" i="71"/>
  <c r="R58" i="71"/>
  <c r="G59" i="71"/>
  <c r="Q58" i="71"/>
  <c r="F59" i="71" s="1"/>
  <c r="P58" i="71"/>
  <c r="C59" i="71" s="1"/>
  <c r="O58" i="71"/>
  <c r="B59" i="71" s="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Q29" i="71"/>
  <c r="F29" i="71" s="1"/>
  <c r="F68" i="71"/>
  <c r="R29" i="71"/>
  <c r="U69" i="71"/>
  <c r="R69" i="71"/>
  <c r="F72" i="71"/>
  <c r="F71" i="71" s="1"/>
  <c r="F76" i="71"/>
  <c r="F75" i="71" s="1"/>
  <c r="G29" i="71"/>
  <c r="G28" i="71" s="1"/>
  <c r="G2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c r="F25" i="40"/>
  <c r="Q29" i="39"/>
  <c r="Z29" i="39" s="1"/>
  <c r="D103" i="39"/>
  <c r="E103" i="39"/>
  <c r="F29" i="39"/>
  <c r="AA29" i="39" s="1"/>
  <c r="Q18" i="36"/>
  <c r="Z18" i="36" s="1"/>
  <c r="D66" i="36"/>
  <c r="E66" i="36"/>
  <c r="F66" i="36" s="1"/>
  <c r="G66" i="36" s="1"/>
  <c r="H18" i="36"/>
  <c r="AB18" i="36" s="1"/>
  <c r="F18" i="36"/>
  <c r="S18" i="36" s="1"/>
  <c r="AA18" i="36"/>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AA21" i="34"/>
  <c r="C21" i="34"/>
  <c r="Q21" i="33"/>
  <c r="Z21" i="33" s="1"/>
  <c r="D83" i="33"/>
  <c r="E83" i="33"/>
  <c r="C21" i="33"/>
  <c r="C21" i="21"/>
  <c r="Q21" i="21"/>
  <c r="Z21" i="21" s="1"/>
  <c r="H19" i="21"/>
  <c r="D83" i="21"/>
  <c r="F21" i="21"/>
  <c r="AA21" i="21"/>
  <c r="D81" i="21"/>
  <c r="G20" i="20"/>
  <c r="B89" i="43"/>
  <c r="C22" i="20"/>
  <c r="B78" i="43"/>
  <c r="B58" i="43"/>
  <c r="B69" i="43"/>
  <c r="C25" i="40"/>
  <c r="C29" i="39"/>
  <c r="S29" i="39"/>
  <c r="U18" i="36"/>
  <c r="F94" i="40"/>
  <c r="G94" i="40" s="1"/>
  <c r="H25" i="40"/>
  <c r="J25" i="40"/>
  <c r="AC25" i="40" s="1"/>
  <c r="F103" i="39"/>
  <c r="G103" i="39" s="1"/>
  <c r="H29" i="39"/>
  <c r="J29" i="39"/>
  <c r="J18" i="36"/>
  <c r="AC18" i="36" s="1"/>
  <c r="F68" i="35"/>
  <c r="G68" i="35" s="1"/>
  <c r="H18" i="35"/>
  <c r="AB18" i="35" s="1"/>
  <c r="S18" i="35"/>
  <c r="J18" i="35"/>
  <c r="AC18" i="35" s="1"/>
  <c r="H21" i="37"/>
  <c r="U21" i="37" s="1"/>
  <c r="F21" i="37"/>
  <c r="H21" i="34"/>
  <c r="AB21" i="34" s="1"/>
  <c r="F83" i="33"/>
  <c r="G83" i="33" s="1"/>
  <c r="H21" i="33"/>
  <c r="F21" i="33"/>
  <c r="S21" i="33" s="1"/>
  <c r="E83" i="21"/>
  <c r="S21" i="21"/>
  <c r="H1" i="69"/>
  <c r="W25" i="40"/>
  <c r="AB29" i="39"/>
  <c r="U29" i="39"/>
  <c r="AC29" i="39"/>
  <c r="W29" i="39"/>
  <c r="AB21" i="37"/>
  <c r="U21" i="34"/>
  <c r="U21" i="33"/>
  <c r="AB21" i="33"/>
  <c r="AA21" i="33"/>
  <c r="W18" i="35"/>
  <c r="J21" i="37"/>
  <c r="W21" i="37" s="1"/>
  <c r="J21" i="34"/>
  <c r="J21" i="33"/>
  <c r="W21" i="33" s="1"/>
  <c r="F83" i="21"/>
  <c r="H21" i="21"/>
  <c r="U21" i="21" s="1"/>
  <c r="F38" i="69"/>
  <c r="E37" i="69"/>
  <c r="F36" i="69"/>
  <c r="F35" i="69"/>
  <c r="F21" i="69"/>
  <c r="C40" i="69" s="1"/>
  <c r="F20" i="69"/>
  <c r="F39" i="69" s="1"/>
  <c r="E10" i="69"/>
  <c r="E9" i="69"/>
  <c r="AC21" i="34"/>
  <c r="W21" i="34"/>
  <c r="AC21" i="33"/>
  <c r="G83" i="21"/>
  <c r="J21" i="21"/>
  <c r="W21" i="21" s="1"/>
  <c r="F38" i="68"/>
  <c r="E37" i="68"/>
  <c r="F36" i="68"/>
  <c r="F35" i="68"/>
  <c r="F21" i="68"/>
  <c r="F40" i="68" s="1"/>
  <c r="C21" i="68"/>
  <c r="F20" i="68"/>
  <c r="F39" i="68" s="1"/>
  <c r="E10" i="68"/>
  <c r="E9" i="68"/>
  <c r="C7" i="68"/>
  <c r="AC21" i="21"/>
  <c r="C40" i="68"/>
  <c r="Q72" i="67"/>
  <c r="Q59" i="67"/>
  <c r="Q58" i="67"/>
  <c r="Q51" i="67"/>
  <c r="J50" i="67"/>
  <c r="M47" i="67"/>
  <c r="D46" i="67"/>
  <c r="F33" i="67"/>
  <c r="F61" i="67"/>
  <c r="F23" i="67"/>
  <c r="D24" i="67" s="1"/>
  <c r="F21" i="67"/>
  <c r="F20" i="67"/>
  <c r="M19" i="67"/>
  <c r="F18" i="67"/>
  <c r="F17" i="67"/>
  <c r="F15"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5" i="43"/>
  <c r="D67"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D70" i="43" s="1"/>
  <c r="J70" i="43"/>
  <c r="M69" i="43"/>
  <c r="N69" i="43"/>
  <c r="K69" i="43"/>
  <c r="D69" i="43" s="1"/>
  <c r="J69" i="43"/>
  <c r="M68" i="43"/>
  <c r="N68" i="43" s="1"/>
  <c r="K68" i="43"/>
  <c r="J68" i="43" s="1"/>
  <c r="M67" i="43"/>
  <c r="N67" i="43"/>
  <c r="K67" i="43"/>
  <c r="J67" i="43"/>
  <c r="M66" i="43"/>
  <c r="K66" i="43"/>
  <c r="J66" i="43"/>
  <c r="M65" i="43"/>
  <c r="N65" i="43"/>
  <c r="K65" i="43"/>
  <c r="J65" i="43"/>
  <c r="M64" i="43"/>
  <c r="N64" i="43" s="1"/>
  <c r="K64" i="43"/>
  <c r="D64" i="43" s="1"/>
  <c r="J64" i="43"/>
  <c r="M63" i="43"/>
  <c r="N63" i="43"/>
  <c r="K63" i="43"/>
  <c r="D63" i="43" s="1"/>
  <c r="J63" i="43"/>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c r="J12" i="31" s="1"/>
  <c r="K12" i="31"/>
  <c r="L12" i="31" s="1"/>
  <c r="M12" i="31" s="1"/>
  <c r="N12" i="31" s="1"/>
  <c r="O12" i="31" s="1"/>
  <c r="P12" i="31" s="1"/>
  <c r="Q12" i="31" s="1"/>
  <c r="R12" i="31" s="1"/>
  <c r="S12" i="31" s="1"/>
  <c r="D10" i="31"/>
  <c r="E10" i="31" s="1"/>
  <c r="F10" i="31" s="1"/>
  <c r="G10" i="31" s="1"/>
  <c r="H10" i="31" s="1"/>
  <c r="I10" i="31"/>
  <c r="J10" i="31" s="1"/>
  <c r="K10" i="31"/>
  <c r="L10" i="3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I24" i="43" s="1"/>
  <c r="AA33" i="43" s="1"/>
  <c r="F8" i="1"/>
  <c r="F9" i="1"/>
  <c r="F10" i="1"/>
  <c r="F11" i="1"/>
  <c r="F12" i="1"/>
  <c r="F13" i="1"/>
  <c r="D6" i="1"/>
  <c r="D9" i="1"/>
  <c r="D10" i="1"/>
  <c r="D11" i="1"/>
  <c r="D12" i="1"/>
  <c r="D13" i="1"/>
  <c r="D7" i="1"/>
  <c r="D8" i="1"/>
  <c r="A7" i="1"/>
  <c r="B7" i="1" s="1"/>
  <c r="E7" i="1" s="1"/>
  <c r="A8" i="1"/>
  <c r="B8" i="1"/>
  <c r="E8" i="1" s="1"/>
  <c r="A9" i="1"/>
  <c r="A10" i="1"/>
  <c r="K10" i="1" s="1"/>
  <c r="A11" i="1"/>
  <c r="A12" i="1"/>
  <c r="A13" i="1"/>
  <c r="K13" i="1" s="1"/>
  <c r="M13" i="1" s="1"/>
  <c r="O13" i="1" s="1"/>
  <c r="P13" i="1" s="1"/>
  <c r="A6" i="1"/>
  <c r="B11" i="1"/>
  <c r="E11" i="1"/>
  <c r="B13" i="1"/>
  <c r="E13" i="1" s="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A91" i="3" s="1"/>
  <c r="AZ91" i="3" s="1"/>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L88" i="3" s="1"/>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B76" i="3"/>
  <c r="BA76" i="3" s="1"/>
  <c r="AX76" i="3"/>
  <c r="AW76" i="3"/>
  <c r="AV76" i="3"/>
  <c r="AC76" i="3"/>
  <c r="H76" i="3"/>
  <c r="G76" i="3"/>
  <c r="BT75" i="3"/>
  <c r="BS75" i="3"/>
  <c r="BR75" i="3"/>
  <c r="BL75" i="3" s="1"/>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L66" i="3" s="1"/>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H62" i="3"/>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s="1"/>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A46" i="3" s="1"/>
  <c r="AZ46" i="3" s="1"/>
  <c r="BB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L40" i="3" s="1"/>
  <c r="BM40" i="3"/>
  <c r="BK40" i="3"/>
  <c r="BJ40" i="3"/>
  <c r="BI40" i="3"/>
  <c r="BH40" i="3"/>
  <c r="BG40" i="3"/>
  <c r="BA40" i="3" s="1"/>
  <c r="AZ40" i="3" s="1"/>
  <c r="BF40" i="3"/>
  <c r="BE40" i="3"/>
  <c r="BD40" i="3"/>
  <c r="BC40" i="3"/>
  <c r="BB40" i="3"/>
  <c r="AX40" i="3"/>
  <c r="AW40" i="3"/>
  <c r="AV40" i="3"/>
  <c r="AC40" i="3"/>
  <c r="H40" i="3"/>
  <c r="G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A37" i="3" s="1"/>
  <c r="BD37" i="3"/>
  <c r="BC37" i="3"/>
  <c r="BB37" i="3"/>
  <c r="AX37" i="3"/>
  <c r="AW37" i="3"/>
  <c r="AV37" i="3"/>
  <c r="AC37" i="3"/>
  <c r="H37" i="3"/>
  <c r="BT36" i="3"/>
  <c r="BS36" i="3"/>
  <c r="BR36" i="3"/>
  <c r="BQ36" i="3"/>
  <c r="BP36" i="3"/>
  <c r="BO36" i="3"/>
  <c r="BN36" i="3"/>
  <c r="BL36" i="3" s="1"/>
  <c r="BM36" i="3"/>
  <c r="BK36" i="3"/>
  <c r="BJ36" i="3"/>
  <c r="BI36" i="3"/>
  <c r="BH36" i="3"/>
  <c r="BG36" i="3"/>
  <c r="BA36" i="3" s="1"/>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A207" i="3" s="1"/>
  <c r="BF207" i="3"/>
  <c r="BE207" i="3"/>
  <c r="BD207" i="3"/>
  <c r="BC207" i="3"/>
  <c r="BB207" i="3"/>
  <c r="AX207" i="3"/>
  <c r="AW207" i="3"/>
  <c r="AV207" i="3"/>
  <c r="AC207" i="3"/>
  <c r="G207" i="3" s="1"/>
  <c r="H207" i="3"/>
  <c r="BT206" i="3"/>
  <c r="BS206" i="3"/>
  <c r="BR206" i="3"/>
  <c r="BL206" i="3" s="1"/>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A193" i="3" s="1"/>
  <c r="AZ193" i="3" s="1"/>
  <c r="BD193" i="3"/>
  <c r="BC193" i="3"/>
  <c r="BB193" i="3"/>
  <c r="AX193" i="3"/>
  <c r="AW193" i="3"/>
  <c r="AV193" i="3"/>
  <c r="AC193" i="3"/>
  <c r="H193" i="3"/>
  <c r="BT192" i="3"/>
  <c r="BS192" i="3"/>
  <c r="BR192" i="3"/>
  <c r="BQ192" i="3"/>
  <c r="BP192" i="3"/>
  <c r="BO192" i="3"/>
  <c r="BN192" i="3"/>
  <c r="BM192" i="3"/>
  <c r="BK192" i="3"/>
  <c r="BJ192" i="3"/>
  <c r="BI192" i="3"/>
  <c r="BH192" i="3"/>
  <c r="BG192" i="3"/>
  <c r="BA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A169" i="3" s="1"/>
  <c r="AZ169" i="3" s="1"/>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L161" i="3" s="1"/>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A150" i="3" s="1"/>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A146" i="3" s="1"/>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A301" i="3" s="1"/>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A297" i="3" s="1"/>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L295" i="3" s="1"/>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A289" i="3" s="1"/>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c r="AX285" i="3"/>
  <c r="AW285" i="3"/>
  <c r="AV285" i="3"/>
  <c r="AC285" i="3"/>
  <c r="H285" i="3"/>
  <c r="G285" i="3" s="1"/>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L280" i="3" s="1"/>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L266" i="3" s="1"/>
  <c r="BM266" i="3"/>
  <c r="BK266" i="3"/>
  <c r="BJ266" i="3"/>
  <c r="BI266" i="3"/>
  <c r="BH266" i="3"/>
  <c r="BA266" i="3" s="1"/>
  <c r="BG266" i="3"/>
  <c r="BF266" i="3"/>
  <c r="BE266" i="3"/>
  <c r="BD266" i="3"/>
  <c r="BC266" i="3"/>
  <c r="BB266" i="3"/>
  <c r="AX266" i="3"/>
  <c r="AW266" i="3"/>
  <c r="AV266" i="3"/>
  <c r="AC266" i="3"/>
  <c r="H266" i="3"/>
  <c r="G266" i="3" s="1"/>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L255" i="3" s="1"/>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A246" i="3" s="1"/>
  <c r="BF246" i="3"/>
  <c r="BE246" i="3"/>
  <c r="BD246" i="3"/>
  <c r="BC246" i="3"/>
  <c r="BB246" i="3"/>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A232" i="3" s="1"/>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A229" i="3" s="1"/>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A213" i="3" s="1"/>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A397" i="3" s="1"/>
  <c r="AZ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A350" i="3" s="1"/>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A349" i="3" s="1"/>
  <c r="BF349" i="3"/>
  <c r="BE349" i="3"/>
  <c r="BD349" i="3"/>
  <c r="BC349" i="3"/>
  <c r="BB349" i="3"/>
  <c r="AX349" i="3"/>
  <c r="AW349" i="3"/>
  <c r="AV349" i="3"/>
  <c r="AC349" i="3"/>
  <c r="H349" i="3"/>
  <c r="G349" i="3"/>
  <c r="BT348" i="3"/>
  <c r="BS348" i="3"/>
  <c r="BR348" i="3"/>
  <c r="BQ348" i="3"/>
  <c r="BP348" i="3"/>
  <c r="BO348" i="3"/>
  <c r="BN348" i="3"/>
  <c r="BM348" i="3"/>
  <c r="BK348" i="3"/>
  <c r="BJ348" i="3"/>
  <c r="BI348" i="3"/>
  <c r="BH348" i="3"/>
  <c r="BA348" i="3" s="1"/>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L489" i="3" s="1"/>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L486" i="3" s="1"/>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A482" i="3" s="1"/>
  <c r="AZ482" i="3" s="1"/>
  <c r="BF482" i="3"/>
  <c r="BE482" i="3"/>
  <c r="BD482" i="3"/>
  <c r="BC482" i="3"/>
  <c r="BB482" i="3"/>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L468" i="3" s="1"/>
  <c r="BO468" i="3"/>
  <c r="BN468" i="3"/>
  <c r="BM468" i="3"/>
  <c r="BK468" i="3"/>
  <c r="BJ468" i="3"/>
  <c r="BI468" i="3"/>
  <c r="BH468" i="3"/>
  <c r="BA468" i="3" s="1"/>
  <c r="AZ468" i="3" s="1"/>
  <c r="BG468" i="3"/>
  <c r="BF468" i="3"/>
  <c r="BE468" i="3"/>
  <c r="BD468" i="3"/>
  <c r="BC468" i="3"/>
  <c r="BB468" i="3"/>
  <c r="AX468" i="3"/>
  <c r="AW468" i="3"/>
  <c r="AV468" i="3"/>
  <c r="AC468" i="3"/>
  <c r="G468" i="3" s="1"/>
  <c r="H468" i="3"/>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L459" i="3" s="1"/>
  <c r="BQ459" i="3"/>
  <c r="BP459" i="3"/>
  <c r="BO459" i="3"/>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L453" i="3" s="1"/>
  <c r="BO453" i="3"/>
  <c r="BN453" i="3"/>
  <c r="BM453" i="3"/>
  <c r="BK453" i="3"/>
  <c r="BJ453" i="3"/>
  <c r="BI453" i="3"/>
  <c r="BH453" i="3"/>
  <c r="BA453" i="3" s="1"/>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BT448" i="3"/>
  <c r="BS448" i="3"/>
  <c r="BL448" i="3" s="1"/>
  <c r="BR448" i="3"/>
  <c r="BQ448" i="3"/>
  <c r="BP448" i="3"/>
  <c r="BO448" i="3"/>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L446" i="3" s="1"/>
  <c r="BO446" i="3"/>
  <c r="BN446" i="3"/>
  <c r="BM446" i="3"/>
  <c r="BK446" i="3"/>
  <c r="BJ446" i="3"/>
  <c r="BI446" i="3"/>
  <c r="BH446" i="3"/>
  <c r="BA446" i="3" s="1"/>
  <c r="AZ446" i="3" s="1"/>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A439" i="3" s="1"/>
  <c r="BG439" i="3"/>
  <c r="BF439" i="3"/>
  <c r="BE439" i="3"/>
  <c r="BD439" i="3"/>
  <c r="BC439" i="3"/>
  <c r="BB439" i="3"/>
  <c r="AX439" i="3"/>
  <c r="AW439" i="3"/>
  <c r="AV439" i="3"/>
  <c r="AC439" i="3"/>
  <c r="H439" i="3"/>
  <c r="G439" i="3" s="1"/>
  <c r="BT438" i="3"/>
  <c r="BS438" i="3"/>
  <c r="BL438" i="3" s="1"/>
  <c r="BR438" i="3"/>
  <c r="BQ438" i="3"/>
  <c r="BP438" i="3"/>
  <c r="BO438" i="3"/>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A434" i="3" s="1"/>
  <c r="AZ434" i="3" s="1"/>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BT431" i="3"/>
  <c r="BS431" i="3"/>
  <c r="BL431" i="3" s="1"/>
  <c r="BR431" i="3"/>
  <c r="BQ431" i="3"/>
  <c r="BP431" i="3"/>
  <c r="BO431" i="3"/>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L429" i="3" s="1"/>
  <c r="BO429" i="3"/>
  <c r="BN429" i="3"/>
  <c r="BM429" i="3"/>
  <c r="BK429" i="3"/>
  <c r="BJ429" i="3"/>
  <c r="BI429" i="3"/>
  <c r="BH429" i="3"/>
  <c r="BA429" i="3" s="1"/>
  <c r="AZ429" i="3" s="1"/>
  <c r="BG429" i="3"/>
  <c r="BF429" i="3"/>
  <c r="BE429" i="3"/>
  <c r="BD429" i="3"/>
  <c r="BC429" i="3"/>
  <c r="BB429" i="3"/>
  <c r="AX429" i="3"/>
  <c r="AW429" i="3"/>
  <c r="AV429" i="3"/>
  <c r="AC429" i="3"/>
  <c r="G429" i="3" s="1"/>
  <c r="H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A427" i="3" s="1"/>
  <c r="AZ427" i="3" s="1"/>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A426" i="3" s="1"/>
  <c r="AZ426" i="3" s="1"/>
  <c r="BD426" i="3"/>
  <c r="BC426" i="3"/>
  <c r="BB426" i="3"/>
  <c r="AX426" i="3"/>
  <c r="AW426" i="3"/>
  <c r="AV426" i="3"/>
  <c r="AC426" i="3"/>
  <c r="H426" i="3"/>
  <c r="G426" i="3"/>
  <c r="BT425" i="3"/>
  <c r="BS425" i="3"/>
  <c r="BR425" i="3"/>
  <c r="BQ425" i="3"/>
  <c r="BP425" i="3"/>
  <c r="BL425" i="3" s="1"/>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L418" i="3" s="1"/>
  <c r="BR418" i="3"/>
  <c r="BQ418" i="3"/>
  <c r="BP418" i="3"/>
  <c r="BO418" i="3"/>
  <c r="BN418" i="3"/>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L416" i="3" s="1"/>
  <c r="BO416" i="3"/>
  <c r="BN416" i="3"/>
  <c r="BM416" i="3"/>
  <c r="BK416" i="3"/>
  <c r="BJ416" i="3"/>
  <c r="BI416" i="3"/>
  <c r="BH416" i="3"/>
  <c r="BA416" i="3" s="1"/>
  <c r="AZ416" i="3" s="1"/>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c r="AZ402" i="3" s="1"/>
  <c r="AX402" i="3"/>
  <c r="AW402" i="3"/>
  <c r="AV402" i="3"/>
  <c r="AC402" i="3"/>
  <c r="H402" i="3"/>
  <c r="G402" i="3" s="1"/>
  <c r="BT401" i="3"/>
  <c r="BS401" i="3"/>
  <c r="BL401" i="3" s="1"/>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L399" i="3" s="1"/>
  <c r="BM399" i="3"/>
  <c r="BK399" i="3"/>
  <c r="BJ399" i="3"/>
  <c r="BI399" i="3"/>
  <c r="BH399" i="3"/>
  <c r="BA399" i="3" s="1"/>
  <c r="AZ399" i="3" s="1"/>
  <c r="BG399" i="3"/>
  <c r="BF399" i="3"/>
  <c r="BE399" i="3"/>
  <c r="BD399" i="3"/>
  <c r="BC399" i="3"/>
  <c r="BB399" i="3"/>
  <c r="AX399" i="3"/>
  <c r="AW399" i="3"/>
  <c r="AV399" i="3"/>
  <c r="AC399" i="3"/>
  <c r="H399" i="3"/>
  <c r="G399" i="3" s="1"/>
  <c r="BT398" i="3"/>
  <c r="BS398" i="3"/>
  <c r="BL398" i="3" s="1"/>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S104" i="31"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S128" i="31" s="1"/>
  <c r="R129" i="31"/>
  <c r="R130" i="31"/>
  <c r="R131" i="31"/>
  <c r="R132" i="31"/>
  <c r="R133" i="31"/>
  <c r="R134" i="31"/>
  <c r="R135" i="31"/>
  <c r="R136" i="31"/>
  <c r="S136" i="31" s="1"/>
  <c r="R137" i="31"/>
  <c r="R138" i="31"/>
  <c r="R139" i="31"/>
  <c r="R140" i="31"/>
  <c r="R141" i="31"/>
  <c r="R142" i="31"/>
  <c r="R143" i="31"/>
  <c r="R144" i="31"/>
  <c r="S144" i="31" s="1"/>
  <c r="R145" i="31"/>
  <c r="R146" i="31"/>
  <c r="R147" i="31"/>
  <c r="R148" i="31"/>
  <c r="R149" i="31"/>
  <c r="R150" i="31"/>
  <c r="R151" i="31"/>
  <c r="R152" i="31"/>
  <c r="S152" i="31" s="1"/>
  <c r="R153" i="31"/>
  <c r="R154" i="31"/>
  <c r="R155" i="31"/>
  <c r="R156" i="31"/>
  <c r="R157" i="31"/>
  <c r="R158" i="31"/>
  <c r="R159" i="31"/>
  <c r="R160" i="31"/>
  <c r="S160" i="31" s="1"/>
  <c r="R161" i="31"/>
  <c r="R162" i="31"/>
  <c r="R163" i="31"/>
  <c r="R164" i="31"/>
  <c r="R165" i="31"/>
  <c r="R166" i="31"/>
  <c r="R167" i="31"/>
  <c r="R168" i="31"/>
  <c r="S168" i="31" s="1"/>
  <c r="R169" i="31"/>
  <c r="R170" i="31"/>
  <c r="R171" i="31"/>
  <c r="R172" i="31"/>
  <c r="R173" i="31"/>
  <c r="R174" i="31"/>
  <c r="R175" i="31"/>
  <c r="R176" i="31"/>
  <c r="S176" i="31" s="1"/>
  <c r="R177" i="31"/>
  <c r="R178" i="31"/>
  <c r="R179" i="31"/>
  <c r="R180" i="31"/>
  <c r="R181" i="31"/>
  <c r="R182" i="31"/>
  <c r="R183" i="31"/>
  <c r="R184" i="31"/>
  <c r="S184" i="31" s="1"/>
  <c r="R185" i="3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R211" i="31"/>
  <c r="R212" i="31"/>
  <c r="R213" i="31"/>
  <c r="R214" i="31"/>
  <c r="R215" i="31"/>
  <c r="R216" i="31"/>
  <c r="S216" i="31" s="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c r="R266" i="31"/>
  <c r="S266" i="31" s="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c r="R314" i="31"/>
  <c r="S314" i="31" s="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c r="R330" i="31"/>
  <c r="S330" i="31" s="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c r="R346" i="31"/>
  <c r="S346" i="31" s="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c r="R362" i="31"/>
  <c r="S362" i="31" s="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c r="R378" i="31"/>
  <c r="S378" i="31" s="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c r="R394" i="31"/>
  <c r="S394" i="31" s="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c r="R410" i="31"/>
  <c r="S410" i="31" s="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S507" i="31" s="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2" i="31"/>
  <c r="S390" i="31"/>
  <c r="S388" i="31"/>
  <c r="S386" i="31"/>
  <c r="S384" i="31"/>
  <c r="S382" i="31"/>
  <c r="S380"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5" i="31"/>
  <c r="S214" i="31"/>
  <c r="S213" i="31"/>
  <c r="S212" i="31"/>
  <c r="S211" i="31"/>
  <c r="S210" i="31"/>
  <c r="S209" i="31"/>
  <c r="S207" i="31"/>
  <c r="S206" i="31"/>
  <c r="S205" i="31"/>
  <c r="S204" i="31"/>
  <c r="S203" i="31"/>
  <c r="S202" i="31"/>
  <c r="S201" i="31"/>
  <c r="S199" i="31"/>
  <c r="S198" i="31"/>
  <c r="S197" i="31"/>
  <c r="S196" i="31"/>
  <c r="S195" i="31"/>
  <c r="S194" i="31"/>
  <c r="S193" i="31"/>
  <c r="S191" i="31"/>
  <c r="S190" i="31"/>
  <c r="S189" i="31"/>
  <c r="S188" i="31"/>
  <c r="S187" i="31"/>
  <c r="S186" i="31"/>
  <c r="S185" i="31"/>
  <c r="S183" i="31"/>
  <c r="S182" i="31"/>
  <c r="S181" i="31"/>
  <c r="S180" i="31"/>
  <c r="S179" i="31"/>
  <c r="S178" i="31"/>
  <c r="S177" i="31"/>
  <c r="S175" i="31"/>
  <c r="S174" i="31"/>
  <c r="S173" i="31"/>
  <c r="S172" i="31"/>
  <c r="S171" i="31"/>
  <c r="S170" i="31"/>
  <c r="S169" i="31"/>
  <c r="S167" i="31"/>
  <c r="S166" i="31"/>
  <c r="S165" i="31"/>
  <c r="S164" i="31"/>
  <c r="S163" i="31"/>
  <c r="S162" i="31"/>
  <c r="S161" i="31"/>
  <c r="S159" i="31"/>
  <c r="S158" i="31"/>
  <c r="S157" i="31"/>
  <c r="S156" i="31"/>
  <c r="S155" i="31"/>
  <c r="S154" i="31"/>
  <c r="S153" i="31"/>
  <c r="S151" i="31"/>
  <c r="S150" i="31"/>
  <c r="S149" i="31"/>
  <c r="S148" i="31"/>
  <c r="S147" i="31"/>
  <c r="S146" i="31"/>
  <c r="S145" i="31"/>
  <c r="S143" i="31"/>
  <c r="S142" i="31"/>
  <c r="S141" i="31"/>
  <c r="S140" i="31"/>
  <c r="S139" i="31"/>
  <c r="S138" i="31"/>
  <c r="S137" i="31"/>
  <c r="S135" i="31"/>
  <c r="S134" i="31"/>
  <c r="S133" i="31"/>
  <c r="S132" i="31"/>
  <c r="S131" i="31"/>
  <c r="S130" i="31"/>
  <c r="S129" i="31"/>
  <c r="S127" i="31"/>
  <c r="S126"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22" i="31" s="1"/>
  <c r="R22" i="31" s="1"/>
  <c r="S32" i="31"/>
  <c r="S77" i="31"/>
  <c r="S76" i="31"/>
  <c r="S75" i="31"/>
  <c r="S74" i="31"/>
  <c r="S73" i="31"/>
  <c r="S71" i="31"/>
  <c r="S70" i="31"/>
  <c r="S69" i="31"/>
  <c r="S68" i="31"/>
  <c r="S67" i="31"/>
  <c r="S66" i="31"/>
  <c r="S65"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5" i="31"/>
  <c r="S106" i="31"/>
  <c r="S107" i="31"/>
  <c r="S108" i="31"/>
  <c r="S109" i="31"/>
  <c r="S110" i="31"/>
  <c r="S111" i="31"/>
  <c r="S445" i="31"/>
  <c r="S446" i="31"/>
  <c r="S447" i="31"/>
  <c r="S448" i="31"/>
  <c r="S449"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P5" i="3" s="1"/>
  <c r="G29" i="6"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A530" i="3" s="1"/>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L531" i="3" s="1"/>
  <c r="BO531" i="3"/>
  <c r="BP531" i="3"/>
  <c r="BR531" i="3"/>
  <c r="BS531" i="3"/>
  <c r="BT531" i="3"/>
  <c r="H532" i="3"/>
  <c r="AC532" i="3"/>
  <c r="BB532" i="3"/>
  <c r="BB5" i="3" s="1"/>
  <c r="E5" i="6" s="1"/>
  <c r="D9" i="11" s="1"/>
  <c r="C9" i="11" s="1"/>
  <c r="BC532" i="3"/>
  <c r="BD532" i="3"/>
  <c r="BE532" i="3"/>
  <c r="BF532" i="3"/>
  <c r="BG532" i="3"/>
  <c r="BH532" i="3"/>
  <c r="BI532" i="3"/>
  <c r="BJ532" i="3"/>
  <c r="BJ5" i="3" s="1"/>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AZ542" i="3" s="1"/>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AZ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A568" i="3" s="1"/>
  <c r="AZ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A569" i="3" s="1"/>
  <c r="AZ569" i="3" s="1"/>
  <c r="BI569" i="3"/>
  <c r="BJ569" i="3"/>
  <c r="BK569" i="3"/>
  <c r="BM569" i="3"/>
  <c r="BN569" i="3"/>
  <c r="BO569" i="3"/>
  <c r="BP569" i="3"/>
  <c r="BR569" i="3"/>
  <c r="BL569" i="3" s="1"/>
  <c r="BS569" i="3"/>
  <c r="BT569" i="3"/>
  <c r="H570" i="3"/>
  <c r="AC570" i="3"/>
  <c r="G570" i="3"/>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A574" i="3" s="1"/>
  <c r="AZ574" i="3" s="1"/>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AZ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c r="C26" i="35"/>
  <c r="C79" i="35"/>
  <c r="J31" i="35"/>
  <c r="W31" i="35" s="1"/>
  <c r="H31" i="35"/>
  <c r="U31" i="35" s="1"/>
  <c r="F31" i="35"/>
  <c r="D87" i="35"/>
  <c r="E87" i="35"/>
  <c r="F87" i="35" s="1"/>
  <c r="G87" i="35"/>
  <c r="H87" i="35"/>
  <c r="I87" i="35" s="1"/>
  <c r="J87" i="35" s="1"/>
  <c r="K87" i="35"/>
  <c r="L87" i="35" s="1"/>
  <c r="M87" i="35" s="1"/>
  <c r="H34" i="37"/>
  <c r="D101" i="37"/>
  <c r="F34" i="37"/>
  <c r="D99" i="37"/>
  <c r="E99" i="37"/>
  <c r="F99" i="37"/>
  <c r="G99" i="37" s="1"/>
  <c r="H99" i="37"/>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H41" i="21"/>
  <c r="U41" i="21" s="1"/>
  <c r="D81" i="39"/>
  <c r="E81" i="39"/>
  <c r="F81" i="39" s="1"/>
  <c r="G81" i="39" s="1"/>
  <c r="H81" i="39" s="1"/>
  <c r="I81" i="39" s="1"/>
  <c r="J81" i="39"/>
  <c r="K81" i="39" s="1"/>
  <c r="L81" i="39" s="1"/>
  <c r="M81" i="39" s="1"/>
  <c r="D76" i="40"/>
  <c r="E76" i="40" s="1"/>
  <c r="F76" i="40" s="1"/>
  <c r="G76" i="40" s="1"/>
  <c r="H76" i="40" s="1"/>
  <c r="I76" i="40"/>
  <c r="J76" i="40" s="1"/>
  <c r="K76" i="40" s="1"/>
  <c r="L76" i="40" s="1"/>
  <c r="M76" i="40" s="1"/>
  <c r="B120" i="40"/>
  <c r="B118" i="40"/>
  <c r="J39" i="40"/>
  <c r="B116" i="40"/>
  <c r="F38" i="40" s="1"/>
  <c r="D115" i="40"/>
  <c r="E115" i="40"/>
  <c r="F115" i="40" s="1"/>
  <c r="G115" i="40" s="1"/>
  <c r="H115" i="40"/>
  <c r="I115" i="40" s="1"/>
  <c r="J115" i="40"/>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s="1"/>
  <c r="G100" i="40" s="1"/>
  <c r="H100" i="40" s="1"/>
  <c r="I100" i="40" s="1"/>
  <c r="J100" i="40" s="1"/>
  <c r="K100" i="40" s="1"/>
  <c r="L100" i="40" s="1"/>
  <c r="M100" i="40" s="1"/>
  <c r="D98" i="40"/>
  <c r="J28" i="40"/>
  <c r="AC28" i="40"/>
  <c r="D96" i="40"/>
  <c r="E96" i="40" s="1"/>
  <c r="F96" i="40" s="1"/>
  <c r="G96" i="40"/>
  <c r="H96" i="40"/>
  <c r="I96" i="40" s="1"/>
  <c r="J96" i="40" s="1"/>
  <c r="K96" i="40" s="1"/>
  <c r="L96" i="40" s="1"/>
  <c r="M96" i="40" s="1"/>
  <c r="B95" i="40"/>
  <c r="D92" i="40"/>
  <c r="E92" i="40" s="1"/>
  <c r="F92" i="40" s="1"/>
  <c r="G92" i="40"/>
  <c r="D90" i="40"/>
  <c r="E90" i="40" s="1"/>
  <c r="F90" i="40" s="1"/>
  <c r="G90" i="40" s="1"/>
  <c r="D88" i="40"/>
  <c r="E88" i="40" s="1"/>
  <c r="D86" i="40"/>
  <c r="E86" i="40"/>
  <c r="F86" i="40" s="1"/>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c r="Q10" i="40"/>
  <c r="Z10" i="40" s="1"/>
  <c r="Q9" i="40"/>
  <c r="Z9" i="40" s="1"/>
  <c r="J9" i="40"/>
  <c r="W9" i="40" s="1"/>
  <c r="H9" i="40"/>
  <c r="F9" i="40"/>
  <c r="S9" i="40" s="1"/>
  <c r="J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s="1"/>
  <c r="H120" i="39" s="1"/>
  <c r="I120" i="39" s="1"/>
  <c r="J120" i="39" s="1"/>
  <c r="K120" i="39"/>
  <c r="L120" i="39" s="1"/>
  <c r="M120" i="39" s="1"/>
  <c r="B114" i="39"/>
  <c r="D109" i="39"/>
  <c r="F34" i="39"/>
  <c r="AA34" i="39"/>
  <c r="D107" i="39"/>
  <c r="E107" i="39" s="1"/>
  <c r="D105" i="39"/>
  <c r="E105" i="39"/>
  <c r="F105" i="39" s="1"/>
  <c r="G105" i="39"/>
  <c r="H105" i="39" s="1"/>
  <c r="I105" i="39" s="1"/>
  <c r="J105" i="39" s="1"/>
  <c r="K105" i="39" s="1"/>
  <c r="L105" i="39" s="1"/>
  <c r="M105" i="39" s="1"/>
  <c r="D101" i="39"/>
  <c r="D99" i="39"/>
  <c r="E99" i="39" s="1"/>
  <c r="F99" i="39"/>
  <c r="G99" i="39"/>
  <c r="Q39" i="39"/>
  <c r="Z39" i="39" s="1"/>
  <c r="Q40" i="39"/>
  <c r="Z40" i="39"/>
  <c r="Q41" i="39"/>
  <c r="Z41" i="39" s="1"/>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c r="H122" i="39" s="1"/>
  <c r="I122" i="39" s="1"/>
  <c r="J122" i="39"/>
  <c r="K122" i="39" s="1"/>
  <c r="L122" i="39" s="1"/>
  <c r="M122" i="39" s="1"/>
  <c r="H35" i="39"/>
  <c r="AB35" i="39"/>
  <c r="B104" i="39"/>
  <c r="D97" i="39"/>
  <c r="J23" i="39"/>
  <c r="AC23" i="39"/>
  <c r="D95" i="39"/>
  <c r="E95" i="39" s="1"/>
  <c r="F95" i="39" s="1"/>
  <c r="D93" i="39"/>
  <c r="E93" i="39" s="1"/>
  <c r="F93" i="39" s="1"/>
  <c r="G93" i="39" s="1"/>
  <c r="D91" i="39"/>
  <c r="E91" i="39"/>
  <c r="F91" i="39" s="1"/>
  <c r="G91" i="39" s="1"/>
  <c r="D89" i="39"/>
  <c r="E89" i="39" s="1"/>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B84" i="37"/>
  <c r="H27" i="37"/>
  <c r="U27" i="37"/>
  <c r="B82" i="37"/>
  <c r="H26" i="37" s="1"/>
  <c r="AB26" i="37" s="1"/>
  <c r="D79" i="37"/>
  <c r="E79" i="37"/>
  <c r="D75" i="37"/>
  <c r="E75" i="37"/>
  <c r="D73" i="37"/>
  <c r="E73" i="37"/>
  <c r="F73" i="37"/>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c r="Q34" i="37"/>
  <c r="Z34" i="37" s="1"/>
  <c r="Q33" i="37"/>
  <c r="Z33" i="37" s="1"/>
  <c r="Q32" i="37"/>
  <c r="Z32" i="37"/>
  <c r="Q31" i="37"/>
  <c r="Z31" i="37" s="1"/>
  <c r="J31" i="37"/>
  <c r="AC31" i="37" s="1"/>
  <c r="Q30" i="37"/>
  <c r="Z30" i="37" s="1"/>
  <c r="J30" i="37"/>
  <c r="AC30" i="37"/>
  <c r="H30" i="37"/>
  <c r="F30" i="37"/>
  <c r="AA30" i="37"/>
  <c r="Q29" i="37"/>
  <c r="Z29" i="37" s="1"/>
  <c r="H29" i="37"/>
  <c r="AB29" i="37" s="1"/>
  <c r="Q28" i="37"/>
  <c r="Z28" i="37"/>
  <c r="Q27" i="37"/>
  <c r="Z27" i="37" s="1"/>
  <c r="Q26" i="37"/>
  <c r="Z26" i="37" s="1"/>
  <c r="J26" i="37"/>
  <c r="AC26" i="37"/>
  <c r="F26" i="37"/>
  <c r="AA26" i="37"/>
  <c r="Q25" i="37"/>
  <c r="Z25" i="37" s="1"/>
  <c r="Q23" i="37"/>
  <c r="Z23" i="37"/>
  <c r="Q19" i="37"/>
  <c r="Z19" i="37" s="1"/>
  <c r="Q17" i="37"/>
  <c r="Z17" i="37"/>
  <c r="Q15" i="37"/>
  <c r="Z15" i="37"/>
  <c r="Q14" i="37"/>
  <c r="Z14" i="37"/>
  <c r="Q13" i="37"/>
  <c r="Z13" i="37" s="1"/>
  <c r="Q12" i="37"/>
  <c r="Z12" i="37" s="1"/>
  <c r="Q11" i="37"/>
  <c r="Z11" i="37" s="1"/>
  <c r="Q10" i="37"/>
  <c r="Z10" i="37" s="1"/>
  <c r="F10" i="37"/>
  <c r="AA10" i="37" s="1"/>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c r="I81" i="36" s="1"/>
  <c r="J81" i="36" s="1"/>
  <c r="K81" i="36" s="1"/>
  <c r="L81" i="36"/>
  <c r="M81" i="36" s="1"/>
  <c r="F79" i="36"/>
  <c r="E79" i="36"/>
  <c r="D79" i="36"/>
  <c r="C79" i="36"/>
  <c r="B93" i="36"/>
  <c r="H33" i="36"/>
  <c r="B91" i="36"/>
  <c r="J32" i="36" s="1"/>
  <c r="B95" i="36"/>
  <c r="H34" i="36"/>
  <c r="D83" i="36"/>
  <c r="E83" i="36" s="1"/>
  <c r="F83" i="36"/>
  <c r="G83" i="36" s="1"/>
  <c r="H83" i="36" s="1"/>
  <c r="I83" i="36" s="1"/>
  <c r="J83" i="36"/>
  <c r="K83" i="36" s="1"/>
  <c r="L83" i="36" s="1"/>
  <c r="M83" i="36" s="1"/>
  <c r="D78" i="36"/>
  <c r="E78" i="36"/>
  <c r="F78" i="36" s="1"/>
  <c r="G78" i="36" s="1"/>
  <c r="H78" i="36" s="1"/>
  <c r="I78" i="36" s="1"/>
  <c r="J78" i="36" s="1"/>
  <c r="K78" i="36" s="1"/>
  <c r="L78" i="36"/>
  <c r="M78" i="36" s="1"/>
  <c r="B75" i="36"/>
  <c r="H25" i="36" s="1"/>
  <c r="B73" i="36"/>
  <c r="J24" i="36"/>
  <c r="AC24" i="36"/>
  <c r="B71" i="36"/>
  <c r="F23" i="36" s="1"/>
  <c r="D70" i="36"/>
  <c r="H22" i="36"/>
  <c r="AB22" i="36" s="1"/>
  <c r="D68" i="36"/>
  <c r="E68" i="36" s="1"/>
  <c r="F68" i="36" s="1"/>
  <c r="G68" i="36" s="1"/>
  <c r="D64" i="36"/>
  <c r="E64" i="36" s="1"/>
  <c r="F64" i="36" s="1"/>
  <c r="G64" i="36"/>
  <c r="J16" i="36"/>
  <c r="W16" i="36"/>
  <c r="D62" i="36"/>
  <c r="E62" i="36"/>
  <c r="F62" i="36"/>
  <c r="G62" i="36" s="1"/>
  <c r="B59" i="36"/>
  <c r="B57" i="36"/>
  <c r="J12" i="36"/>
  <c r="B55" i="36"/>
  <c r="F54" i="36"/>
  <c r="G54" i="36" s="1"/>
  <c r="H54" i="36" s="1"/>
  <c r="I54" i="36" s="1"/>
  <c r="C51" i="36"/>
  <c r="P37" i="36"/>
  <c r="P36" i="36"/>
  <c r="V35" i="36"/>
  <c r="T35" i="36"/>
  <c r="R35" i="36"/>
  <c r="P35" i="36"/>
  <c r="Q34" i="36"/>
  <c r="Z34" i="36"/>
  <c r="Q33" i="36"/>
  <c r="Z33" i="36" s="1"/>
  <c r="Q32" i="36"/>
  <c r="Z32" i="36" s="1"/>
  <c r="Q31" i="36"/>
  <c r="Z31" i="36" s="1"/>
  <c r="Q30" i="36"/>
  <c r="Z30" i="36"/>
  <c r="Q29" i="36"/>
  <c r="Z29" i="36"/>
  <c r="Q28" i="36"/>
  <c r="Z28" i="36"/>
  <c r="J28" i="36"/>
  <c r="AC28" i="36" s="1"/>
  <c r="Q27" i="36"/>
  <c r="Z27" i="36"/>
  <c r="Q26" i="36"/>
  <c r="Z26" i="36" s="1"/>
  <c r="H26" i="36"/>
  <c r="AB26" i="36" s="1"/>
  <c r="Q25" i="36"/>
  <c r="Z25" i="36" s="1"/>
  <c r="Q24" i="36"/>
  <c r="Z24" i="36"/>
  <c r="H24" i="36"/>
  <c r="AB24" i="36" s="1"/>
  <c r="Q23" i="36"/>
  <c r="Z23" i="36"/>
  <c r="H23" i="36"/>
  <c r="AB23" i="36" s="1"/>
  <c r="AA23" i="36"/>
  <c r="Q22" i="36"/>
  <c r="Z22" i="36" s="1"/>
  <c r="J22" i="36"/>
  <c r="AC22" i="36" s="1"/>
  <c r="Q20" i="36"/>
  <c r="Z20" i="36"/>
  <c r="Q16" i="36"/>
  <c r="Z16" i="36"/>
  <c r="Q14" i="36"/>
  <c r="Z14" i="36" s="1"/>
  <c r="Q13" i="36"/>
  <c r="Z13" i="36" s="1"/>
  <c r="Q12" i="36"/>
  <c r="Z12" i="36" s="1"/>
  <c r="H12" i="36"/>
  <c r="U12" i="36" s="1"/>
  <c r="Q11" i="36"/>
  <c r="Z11" i="36"/>
  <c r="Q10" i="36"/>
  <c r="Z10" i="36" s="1"/>
  <c r="F10" i="36"/>
  <c r="AA10" i="36"/>
  <c r="Q9" i="36"/>
  <c r="Z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AB36" i="35" s="1"/>
  <c r="B99" i="35"/>
  <c r="B97" i="35"/>
  <c r="H34" i="35" s="1"/>
  <c r="AB34" i="35" s="1"/>
  <c r="B77" i="35"/>
  <c r="B75" i="35"/>
  <c r="J24" i="35" s="1"/>
  <c r="AC24" i="35" s="1"/>
  <c r="B73" i="35"/>
  <c r="H23" i="35"/>
  <c r="U23" i="35"/>
  <c r="B57" i="35"/>
  <c r="B61" i="35"/>
  <c r="B59" i="35"/>
  <c r="B131" i="34"/>
  <c r="B129" i="34"/>
  <c r="B127" i="34"/>
  <c r="B99" i="34"/>
  <c r="B97" i="34"/>
  <c r="J31" i="34" s="1"/>
  <c r="AC31" i="34" s="1"/>
  <c r="B95" i="34"/>
  <c r="B93" i="34"/>
  <c r="B75" i="34"/>
  <c r="H14" i="34" s="1"/>
  <c r="B73" i="34"/>
  <c r="B71" i="34"/>
  <c r="B130" i="33"/>
  <c r="B128" i="33"/>
  <c r="B126" i="33"/>
  <c r="F44" i="33" s="1"/>
  <c r="B98" i="33"/>
  <c r="B96" i="33"/>
  <c r="B94" i="33"/>
  <c r="F29" i="33" s="1"/>
  <c r="B74" i="33"/>
  <c r="B72" i="33"/>
  <c r="B70" i="33"/>
  <c r="J12" i="33"/>
  <c r="D96" i="35"/>
  <c r="E96" i="35" s="1"/>
  <c r="F96" i="35" s="1"/>
  <c r="G96" i="35" s="1"/>
  <c r="D94" i="35"/>
  <c r="E94" i="35"/>
  <c r="F94" i="35"/>
  <c r="G94" i="35"/>
  <c r="H94" i="35" s="1"/>
  <c r="I94" i="35" s="1"/>
  <c r="J94" i="35"/>
  <c r="K94" i="35" s="1"/>
  <c r="L94" i="35" s="1"/>
  <c r="M94" i="35" s="1"/>
  <c r="D84" i="35"/>
  <c r="E84" i="35"/>
  <c r="F84" i="35"/>
  <c r="G84" i="35" s="1"/>
  <c r="H84" i="35" s="1"/>
  <c r="I84" i="35" s="1"/>
  <c r="J84" i="35" s="1"/>
  <c r="K84" i="35" s="1"/>
  <c r="L84" i="35" s="1"/>
  <c r="M84" i="35" s="1"/>
  <c r="D80" i="35"/>
  <c r="E80" i="35"/>
  <c r="F80" i="35" s="1"/>
  <c r="G80" i="35" s="1"/>
  <c r="H80" i="35"/>
  <c r="I80" i="35"/>
  <c r="J80" i="35" s="1"/>
  <c r="K80" i="35" s="1"/>
  <c r="L80" i="35" s="1"/>
  <c r="M80" i="35" s="1"/>
  <c r="D72" i="35"/>
  <c r="E72" i="35"/>
  <c r="F72" i="35"/>
  <c r="G72" i="35" s="1"/>
  <c r="D70" i="35"/>
  <c r="E70" i="35"/>
  <c r="F70" i="35"/>
  <c r="G70" i="35"/>
  <c r="D66" i="35"/>
  <c r="E66" i="35"/>
  <c r="F66" i="35"/>
  <c r="G66" i="35" s="1"/>
  <c r="D64" i="35"/>
  <c r="E64" i="35"/>
  <c r="F64" i="35"/>
  <c r="G64" i="35"/>
  <c r="J14" i="35"/>
  <c r="W14" i="35"/>
  <c r="F56" i="35"/>
  <c r="G56" i="35" s="1"/>
  <c r="H56" i="35" s="1"/>
  <c r="I56" i="35" s="1"/>
  <c r="C53" i="35"/>
  <c r="J9" i="35"/>
  <c r="P39" i="35"/>
  <c r="P38" i="35"/>
  <c r="V37" i="35"/>
  <c r="T37" i="35"/>
  <c r="R37" i="35"/>
  <c r="P37" i="35"/>
  <c r="Q36" i="35"/>
  <c r="Z36" i="35"/>
  <c r="J36" i="35"/>
  <c r="AC36" i="35"/>
  <c r="Q35" i="35"/>
  <c r="Z35" i="35"/>
  <c r="Q34" i="35"/>
  <c r="Z34" i="35"/>
  <c r="F34" i="35"/>
  <c r="AA34" i="35" s="1"/>
  <c r="Q33" i="35"/>
  <c r="Z33" i="35"/>
  <c r="Q32" i="35"/>
  <c r="Z32" i="35"/>
  <c r="H32" i="35"/>
  <c r="AB32" i="35"/>
  <c r="F32" i="35"/>
  <c r="AA32" i="35" s="1"/>
  <c r="Q31" i="35"/>
  <c r="Z31" i="35"/>
  <c r="AC31" i="35"/>
  <c r="AB31" i="35"/>
  <c r="Q30" i="35"/>
  <c r="Z30" i="35" s="1"/>
  <c r="Q29" i="35"/>
  <c r="Z29" i="35" s="1"/>
  <c r="Q28" i="35"/>
  <c r="Z28" i="35"/>
  <c r="J28" i="35"/>
  <c r="H28" i="35"/>
  <c r="AB28" i="35"/>
  <c r="F28" i="35"/>
  <c r="AA28" i="35" s="1"/>
  <c r="Q27" i="35"/>
  <c r="Z27" i="35"/>
  <c r="Q26" i="35"/>
  <c r="Z26" i="35" s="1"/>
  <c r="Q25" i="35"/>
  <c r="Z25" i="35"/>
  <c r="Q24" i="35"/>
  <c r="Z24" i="35" s="1"/>
  <c r="Q23" i="35"/>
  <c r="Z23" i="35"/>
  <c r="J23" i="35"/>
  <c r="AC23" i="35" s="1"/>
  <c r="Q22" i="35"/>
  <c r="Z22" i="35" s="1"/>
  <c r="Q20" i="35"/>
  <c r="Z20" i="35" s="1"/>
  <c r="Q16" i="35"/>
  <c r="Z16" i="35"/>
  <c r="Q14" i="35"/>
  <c r="Z14" i="35" s="1"/>
  <c r="Q13" i="35"/>
  <c r="Z13" i="35" s="1"/>
  <c r="Q12" i="35"/>
  <c r="Z12" i="35" s="1"/>
  <c r="Q11" i="35"/>
  <c r="Z11" i="35" s="1"/>
  <c r="Q10" i="35"/>
  <c r="Z10" i="35"/>
  <c r="Q9" i="35"/>
  <c r="Z9" i="35" s="1"/>
  <c r="J8" i="35"/>
  <c r="W8" i="35"/>
  <c r="H8" i="35"/>
  <c r="F8" i="35"/>
  <c r="AA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D126" i="34"/>
  <c r="E126" i="34" s="1"/>
  <c r="F126" i="34" s="1"/>
  <c r="G126" i="34" s="1"/>
  <c r="D124" i="34"/>
  <c r="E124" i="34"/>
  <c r="F124" i="34" s="1"/>
  <c r="G124" i="34" s="1"/>
  <c r="H124" i="34"/>
  <c r="I124" i="34" s="1"/>
  <c r="J124" i="34" s="1"/>
  <c r="K124" i="34"/>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s="1"/>
  <c r="I109" i="34" s="1"/>
  <c r="J109" i="34" s="1"/>
  <c r="K109" i="34"/>
  <c r="L109" i="34" s="1"/>
  <c r="M109" i="34" s="1"/>
  <c r="D107" i="34"/>
  <c r="E107" i="34"/>
  <c r="F107" i="34" s="1"/>
  <c r="G107" i="34" s="1"/>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c r="H92" i="34" s="1"/>
  <c r="I92" i="34" s="1"/>
  <c r="J92" i="34" s="1"/>
  <c r="K92" i="34" s="1"/>
  <c r="L92" i="34" s="1"/>
  <c r="M92" i="34" s="1"/>
  <c r="B91" i="34"/>
  <c r="B89" i="34"/>
  <c r="J27" i="34"/>
  <c r="D88" i="34"/>
  <c r="E88" i="34"/>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s="1"/>
  <c r="Q12" i="34"/>
  <c r="Z12" i="34"/>
  <c r="J12" i="34"/>
  <c r="W12" i="34" s="1"/>
  <c r="H12" i="34"/>
  <c r="F12" i="34"/>
  <c r="AA12" i="34" s="1"/>
  <c r="S12" i="34"/>
  <c r="Q11" i="34"/>
  <c r="Z11" i="34"/>
  <c r="Q10" i="34"/>
  <c r="Z10" i="34"/>
  <c r="F10" i="34"/>
  <c r="AA10" i="34" s="1"/>
  <c r="Q9" i="34"/>
  <c r="Z9" i="34"/>
  <c r="AC9" i="34"/>
  <c r="F9" i="34"/>
  <c r="J8" i="34"/>
  <c r="AC8" i="34"/>
  <c r="H8" i="34"/>
  <c r="U8" i="34" s="1"/>
  <c r="F8" i="34"/>
  <c r="D121" i="33"/>
  <c r="E121" i="33" s="1"/>
  <c r="F121" i="33" s="1"/>
  <c r="F109" i="33"/>
  <c r="E109" i="33"/>
  <c r="D109" i="33"/>
  <c r="C109" i="33"/>
  <c r="D91" i="33"/>
  <c r="E91" i="33"/>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F101" i="33" s="1"/>
  <c r="G101" i="33" s="1"/>
  <c r="B92" i="33"/>
  <c r="B90" i="33"/>
  <c r="D87" i="33"/>
  <c r="E87" i="33"/>
  <c r="D85" i="33"/>
  <c r="E85" i="33" s="1"/>
  <c r="D81" i="33"/>
  <c r="E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c r="J39" i="33"/>
  <c r="W39" i="33" s="1"/>
  <c r="AC39" i="33"/>
  <c r="Q38" i="33"/>
  <c r="Z38" i="33"/>
  <c r="J38" i="33"/>
  <c r="AC38" i="33" s="1"/>
  <c r="H38" i="33"/>
  <c r="AB38" i="33"/>
  <c r="F38" i="33"/>
  <c r="AA38" i="33"/>
  <c r="Q37" i="33"/>
  <c r="Z37" i="33"/>
  <c r="Q36" i="33"/>
  <c r="Z36" i="33" s="1"/>
  <c r="Q35" i="33"/>
  <c r="Z35" i="33"/>
  <c r="H35" i="33"/>
  <c r="U35" i="33" s="1"/>
  <c r="AB35" i="33"/>
  <c r="Q34" i="33"/>
  <c r="Z34" i="33"/>
  <c r="Q33" i="33"/>
  <c r="Z33" i="33" s="1"/>
  <c r="J33" i="33"/>
  <c r="AC33" i="33"/>
  <c r="H33" i="33"/>
  <c r="AB33" i="33"/>
  <c r="F33" i="33"/>
  <c r="AA33" i="33"/>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c r="F9" i="33"/>
  <c r="AA9" i="33"/>
  <c r="J8" i="33"/>
  <c r="AC8" i="33" s="1"/>
  <c r="H8" i="33"/>
  <c r="AB8" i="33"/>
  <c r="F8" i="33"/>
  <c r="AA8" i="33"/>
  <c r="M102" i="21"/>
  <c r="D102" i="21"/>
  <c r="E102" i="21"/>
  <c r="F102" i="21"/>
  <c r="G102" i="21"/>
  <c r="H102" i="21"/>
  <c r="I102" i="21"/>
  <c r="J102" i="21"/>
  <c r="K102" i="21"/>
  <c r="L102" i="21"/>
  <c r="C102" i="21"/>
  <c r="C63" i="21"/>
  <c r="F9" i="21"/>
  <c r="G18" i="20"/>
  <c r="B91" i="43" s="1"/>
  <c r="G19" i="20"/>
  <c r="B88" i="43"/>
  <c r="G16" i="20"/>
  <c r="B85" i="43" s="1"/>
  <c r="G15" i="20"/>
  <c r="B84" i="43"/>
  <c r="C24" i="20"/>
  <c r="C21" i="20"/>
  <c r="B100" i="43" s="1"/>
  <c r="B77" i="43"/>
  <c r="C20" i="20"/>
  <c r="C18" i="20"/>
  <c r="B95" i="43" s="1"/>
  <c r="B74" i="43"/>
  <c r="C17" i="20"/>
  <c r="B62" i="43" s="1"/>
  <c r="C16" i="20"/>
  <c r="C17" i="39" s="1"/>
  <c r="C15" i="20"/>
  <c r="E54" i="21"/>
  <c r="F54" i="21"/>
  <c r="I54" i="21"/>
  <c r="J54" i="21" s="1"/>
  <c r="G54" i="21"/>
  <c r="H54" i="21"/>
  <c r="D125" i="21"/>
  <c r="E125" i="21" s="1"/>
  <c r="F125" i="21" s="1"/>
  <c r="G125" i="21" s="1"/>
  <c r="D123" i="21"/>
  <c r="E123" i="21" s="1"/>
  <c r="F123" i="21"/>
  <c r="G123" i="21" s="1"/>
  <c r="H123" i="21" s="1"/>
  <c r="I123" i="21" s="1"/>
  <c r="J123" i="21" s="1"/>
  <c r="F42" i="21"/>
  <c r="AA42" i="21"/>
  <c r="D119" i="21"/>
  <c r="F40" i="21"/>
  <c r="AA40" i="21"/>
  <c r="D117" i="21"/>
  <c r="E117" i="21" s="1"/>
  <c r="F117" i="21"/>
  <c r="G117" i="2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c r="L110" i="21" s="1"/>
  <c r="M110" i="21" s="1"/>
  <c r="J36" i="21"/>
  <c r="AC36" i="21" s="1"/>
  <c r="D108" i="21"/>
  <c r="E108" i="21"/>
  <c r="F108" i="21" s="1"/>
  <c r="G108" i="21"/>
  <c r="H108" i="21" s="1"/>
  <c r="I108" i="21"/>
  <c r="J108" i="21" s="1"/>
  <c r="K108" i="21" s="1"/>
  <c r="L108" i="21" s="1"/>
  <c r="M108" i="21" s="1"/>
  <c r="D106" i="21"/>
  <c r="E106" i="21"/>
  <c r="F106" i="21"/>
  <c r="G106" i="21"/>
  <c r="H106" i="21" s="1"/>
  <c r="I106" i="21" s="1"/>
  <c r="J106" i="21" s="1"/>
  <c r="K106" i="21" s="1"/>
  <c r="L106" i="21" s="1"/>
  <c r="M106" i="21" s="1"/>
  <c r="D101" i="21"/>
  <c r="E101" i="21"/>
  <c r="F101" i="21" s="1"/>
  <c r="G101" i="21" s="1"/>
  <c r="H101" i="21" s="1"/>
  <c r="D89" i="21"/>
  <c r="E89" i="21" s="1"/>
  <c r="F89" i="21"/>
  <c r="G89" i="21" s="1"/>
  <c r="H89" i="21"/>
  <c r="I89" i="21" s="1"/>
  <c r="J89" i="21" s="1"/>
  <c r="K89" i="2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c r="H66" i="21" s="1"/>
  <c r="I66" i="21"/>
  <c r="D111" i="21"/>
  <c r="E111" i="21"/>
  <c r="F111" i="21"/>
  <c r="C111" i="21"/>
  <c r="D79" i="21"/>
  <c r="E79" i="21"/>
  <c r="F79" i="21" s="1"/>
  <c r="G79" i="21"/>
  <c r="D85" i="21"/>
  <c r="F19" i="21"/>
  <c r="AA19" i="21"/>
  <c r="E81" i="21"/>
  <c r="F81" i="21"/>
  <c r="G81" i="21"/>
  <c r="D77" i="21"/>
  <c r="E77" i="21"/>
  <c r="B130" i="21"/>
  <c r="B128" i="21"/>
  <c r="J45" i="21"/>
  <c r="W45" i="21" s="1"/>
  <c r="B126" i="21"/>
  <c r="J44" i="21" s="1"/>
  <c r="B98" i="21"/>
  <c r="H31" i="21" s="1"/>
  <c r="B96" i="21"/>
  <c r="B94" i="21"/>
  <c r="J29" i="21"/>
  <c r="AC29" i="21"/>
  <c r="B92" i="21"/>
  <c r="B90" i="21"/>
  <c r="F27" i="21" s="1"/>
  <c r="J27" i="21"/>
  <c r="W27" i="21" s="1"/>
  <c r="B74" i="21"/>
  <c r="F14" i="21" s="1"/>
  <c r="B72" i="21"/>
  <c r="H13" i="21"/>
  <c r="B70" i="21"/>
  <c r="H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s="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AZ585" i="3" s="1"/>
  <c r="BJ585" i="3"/>
  <c r="BK585" i="3"/>
  <c r="BM585" i="3"/>
  <c r="BL585" i="3" s="1"/>
  <c r="BN585" i="3"/>
  <c r="BO585" i="3"/>
  <c r="BP585" i="3"/>
  <c r="BQ585" i="3"/>
  <c r="BR585" i="3"/>
  <c r="BR5" i="3" s="1"/>
  <c r="G28" i="6" s="1"/>
  <c r="BS585" i="3"/>
  <c r="BT585" i="3"/>
  <c r="BB586" i="3"/>
  <c r="BC586" i="3"/>
  <c r="BD586" i="3"/>
  <c r="BE586" i="3"/>
  <c r="BA586" i="3" s="1"/>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U34" i="21" s="1"/>
  <c r="AB34" i="21"/>
  <c r="F43" i="21"/>
  <c r="S43" i="21"/>
  <c r="H38" i="21"/>
  <c r="U38" i="21"/>
  <c r="H43" i="21"/>
  <c r="AB43" i="21" s="1"/>
  <c r="F38" i="21"/>
  <c r="S38" i="21"/>
  <c r="F36" i="21"/>
  <c r="S36" i="21"/>
  <c r="F39" i="21"/>
  <c r="AA39" i="21"/>
  <c r="J40" i="21"/>
  <c r="W40" i="21" s="1"/>
  <c r="H35" i="21"/>
  <c r="AB35" i="21" s="1"/>
  <c r="J8" i="21"/>
  <c r="AC8" i="21"/>
  <c r="H8" i="21"/>
  <c r="U8" i="21"/>
  <c r="H10" i="21"/>
  <c r="AB10" i="21" s="1"/>
  <c r="H39" i="21"/>
  <c r="U39" i="21"/>
  <c r="J34" i="21"/>
  <c r="W34" i="21"/>
  <c r="H36" i="21"/>
  <c r="U36" i="21"/>
  <c r="F35" i="21"/>
  <c r="AA35" i="21" s="1"/>
  <c r="J10" i="21"/>
  <c r="AC10" i="21" s="1"/>
  <c r="H26" i="21"/>
  <c r="AB26" i="21"/>
  <c r="AB19" i="21"/>
  <c r="J19" i="21"/>
  <c r="W19" i="21"/>
  <c r="J26" i="21"/>
  <c r="W26" i="21" s="1"/>
  <c r="F26" i="21"/>
  <c r="S26" i="21"/>
  <c r="AB41" i="21"/>
  <c r="S41" i="21"/>
  <c r="AA41" i="21"/>
  <c r="J44" i="39"/>
  <c r="AC44" i="39" s="1"/>
  <c r="F36" i="39"/>
  <c r="AA36" i="39" s="1"/>
  <c r="S36" i="39"/>
  <c r="H36" i="39"/>
  <c r="AB36" i="39"/>
  <c r="J35" i="39"/>
  <c r="AC35" i="39"/>
  <c r="F35" i="39"/>
  <c r="AA35" i="39" s="1"/>
  <c r="J36" i="39"/>
  <c r="AC36" i="39" s="1"/>
  <c r="U9" i="39"/>
  <c r="W40" i="39"/>
  <c r="W31" i="37"/>
  <c r="E103" i="37"/>
  <c r="F103" i="37"/>
  <c r="G103" i="37"/>
  <c r="H103" i="37" s="1"/>
  <c r="I103" i="37" s="1"/>
  <c r="J103" i="37" s="1"/>
  <c r="K103" i="37" s="1"/>
  <c r="L103" i="37" s="1"/>
  <c r="M103" i="37" s="1"/>
  <c r="F39" i="37"/>
  <c r="S39" i="37" s="1"/>
  <c r="F29" i="36"/>
  <c r="AA29" i="36" s="1"/>
  <c r="W8" i="36"/>
  <c r="F16" i="36"/>
  <c r="AA16" i="36" s="1"/>
  <c r="W28" i="36"/>
  <c r="S30" i="36"/>
  <c r="AA31" i="36"/>
  <c r="AC31" i="36"/>
  <c r="W31" i="36"/>
  <c r="U31" i="36"/>
  <c r="J33" i="36"/>
  <c r="W33" i="36"/>
  <c r="H22" i="35"/>
  <c r="AB22" i="35" s="1"/>
  <c r="AC27" i="35"/>
  <c r="S34" i="35"/>
  <c r="W36" i="35"/>
  <c r="W22" i="35"/>
  <c r="U34" i="35"/>
  <c r="F36" i="34"/>
  <c r="J35" i="34"/>
  <c r="W9" i="34"/>
  <c r="S34" i="34"/>
  <c r="U34" i="34"/>
  <c r="H39" i="33"/>
  <c r="AB39" i="33" s="1"/>
  <c r="F26" i="33"/>
  <c r="S9" i="33"/>
  <c r="U33" i="33"/>
  <c r="S40" i="33"/>
  <c r="W33" i="33"/>
  <c r="H39" i="37"/>
  <c r="S27" i="35"/>
  <c r="F11" i="40"/>
  <c r="AA11" i="40" s="1"/>
  <c r="H11" i="40"/>
  <c r="AB11" i="40"/>
  <c r="AB39" i="40"/>
  <c r="AA9" i="40"/>
  <c r="AC9" i="40"/>
  <c r="S34" i="40"/>
  <c r="U38" i="40"/>
  <c r="W31" i="40"/>
  <c r="U34" i="40"/>
  <c r="F42" i="39"/>
  <c r="AA42" i="39"/>
  <c r="F41" i="39"/>
  <c r="S41" i="39" s="1"/>
  <c r="H40" i="39"/>
  <c r="AB40" i="39" s="1"/>
  <c r="H39" i="39"/>
  <c r="U39" i="39"/>
  <c r="S38" i="39"/>
  <c r="S34" i="39"/>
  <c r="H34" i="39"/>
  <c r="U34" i="39" s="1"/>
  <c r="E109" i="39"/>
  <c r="F109" i="39" s="1"/>
  <c r="G109" i="39" s="1"/>
  <c r="H109" i="39" s="1"/>
  <c r="I109" i="39" s="1"/>
  <c r="J109" i="39" s="1"/>
  <c r="K109" i="39" s="1"/>
  <c r="H31" i="39"/>
  <c r="AB31" i="39"/>
  <c r="F31" i="39"/>
  <c r="AA31" i="39" s="1"/>
  <c r="E101" i="39"/>
  <c r="F101" i="39" s="1"/>
  <c r="H19" i="39"/>
  <c r="AB19" i="39" s="1"/>
  <c r="F19" i="39"/>
  <c r="H17" i="39"/>
  <c r="AB17" i="39"/>
  <c r="F17" i="39"/>
  <c r="AA17" i="39"/>
  <c r="J23" i="40"/>
  <c r="AC23" i="40" s="1"/>
  <c r="F21" i="40"/>
  <c r="J21" i="40"/>
  <c r="W21" i="40"/>
  <c r="H42" i="39"/>
  <c r="AB42" i="39"/>
  <c r="J34" i="39"/>
  <c r="AC34" i="39" s="1"/>
  <c r="L109" i="39"/>
  <c r="M109" i="39" s="1"/>
  <c r="J31" i="39"/>
  <c r="H27" i="39"/>
  <c r="U27" i="39" s="1"/>
  <c r="J19" i="39"/>
  <c r="AC19" i="39"/>
  <c r="J17" i="39"/>
  <c r="J27" i="39"/>
  <c r="AC27" i="39"/>
  <c r="F27" i="39"/>
  <c r="F11" i="21"/>
  <c r="S11" i="21" s="1"/>
  <c r="S40" i="21"/>
  <c r="S34" i="21"/>
  <c r="C25" i="39"/>
  <c r="C27" i="39"/>
  <c r="C21" i="39"/>
  <c r="H11" i="39"/>
  <c r="S40" i="39"/>
  <c r="H32" i="33"/>
  <c r="AB32" i="33"/>
  <c r="H11" i="21"/>
  <c r="U11" i="21"/>
  <c r="J11" i="21"/>
  <c r="W11" i="21"/>
  <c r="H37" i="40"/>
  <c r="U37" i="40" s="1"/>
  <c r="H36" i="40"/>
  <c r="AB36" i="40" s="1"/>
  <c r="F35" i="40"/>
  <c r="AA35" i="40"/>
  <c r="H23" i="40"/>
  <c r="AB23" i="40"/>
  <c r="H17" i="40"/>
  <c r="U17" i="40" s="1"/>
  <c r="J15" i="40"/>
  <c r="W15" i="40" s="1"/>
  <c r="J11" i="40"/>
  <c r="W11" i="40"/>
  <c r="AB8" i="39"/>
  <c r="AB12" i="33"/>
  <c r="AC12" i="34"/>
  <c r="AB12" i="36"/>
  <c r="S44" i="39"/>
  <c r="J34" i="36"/>
  <c r="W34" i="36" s="1"/>
  <c r="U30" i="36"/>
  <c r="J30" i="35"/>
  <c r="W30" i="35" s="1"/>
  <c r="H30" i="35"/>
  <c r="F22" i="35"/>
  <c r="AA22" i="35"/>
  <c r="H10" i="35"/>
  <c r="U10" i="35"/>
  <c r="AC16" i="36"/>
  <c r="F33" i="36"/>
  <c r="AA33" i="36"/>
  <c r="H16" i="36"/>
  <c r="AB16" i="36" s="1"/>
  <c r="E85" i="36"/>
  <c r="F85" i="36"/>
  <c r="G85" i="36" s="1"/>
  <c r="H85" i="36" s="1"/>
  <c r="I85" i="36" s="1"/>
  <c r="J85" i="36" s="1"/>
  <c r="K85" i="36" s="1"/>
  <c r="L85" i="36" s="1"/>
  <c r="M85" i="36" s="1"/>
  <c r="J29" i="36"/>
  <c r="F12" i="36"/>
  <c r="F24" i="36"/>
  <c r="AA24" i="36" s="1"/>
  <c r="F34" i="36"/>
  <c r="S34" i="36"/>
  <c r="S10" i="36"/>
  <c r="AB8" i="36"/>
  <c r="S8" i="36"/>
  <c r="F14" i="35"/>
  <c r="AA14" i="35" s="1"/>
  <c r="F23" i="35"/>
  <c r="AA23" i="35" s="1"/>
  <c r="J32" i="35"/>
  <c r="AC32" i="35"/>
  <c r="J16" i="35"/>
  <c r="H16" i="35"/>
  <c r="U16" i="35" s="1"/>
  <c r="F16" i="35"/>
  <c r="S16" i="35" s="1"/>
  <c r="H14" i="35"/>
  <c r="AB14" i="35"/>
  <c r="J29" i="35"/>
  <c r="H33" i="35"/>
  <c r="AB33" i="35"/>
  <c r="AC8" i="35"/>
  <c r="J20" i="35"/>
  <c r="F35" i="37"/>
  <c r="S35" i="37"/>
  <c r="E101" i="37"/>
  <c r="F101" i="37" s="1"/>
  <c r="G101" i="37"/>
  <c r="H101" i="37" s="1"/>
  <c r="I101" i="37"/>
  <c r="J101" i="37"/>
  <c r="K101" i="37" s="1"/>
  <c r="L101" i="37"/>
  <c r="M101" i="37" s="1"/>
  <c r="J34" i="37"/>
  <c r="W34" i="37"/>
  <c r="S10" i="37"/>
  <c r="AA39" i="37"/>
  <c r="AB34" i="37"/>
  <c r="J33" i="37"/>
  <c r="AC33" i="37"/>
  <c r="U42" i="34"/>
  <c r="H40" i="34"/>
  <c r="U40" i="34"/>
  <c r="E114" i="34"/>
  <c r="H36" i="34"/>
  <c r="U36" i="34"/>
  <c r="F37" i="34"/>
  <c r="AA37" i="34"/>
  <c r="S35" i="34"/>
  <c r="F28" i="34"/>
  <c r="AA28" i="34"/>
  <c r="F27" i="34"/>
  <c r="AA27" i="34"/>
  <c r="F25" i="34"/>
  <c r="S25" i="34" s="1"/>
  <c r="H23" i="34"/>
  <c r="AB23" i="34" s="1"/>
  <c r="U23" i="34"/>
  <c r="J23" i="34"/>
  <c r="F19" i="34"/>
  <c r="H17" i="34"/>
  <c r="U17" i="34"/>
  <c r="F15" i="34"/>
  <c r="S15" i="34" s="1"/>
  <c r="J15" i="34"/>
  <c r="H15" i="34"/>
  <c r="U15" i="34" s="1"/>
  <c r="AB15" i="34"/>
  <c r="W8" i="34"/>
  <c r="J28" i="34"/>
  <c r="W28" i="34" s="1"/>
  <c r="F41" i="33"/>
  <c r="AA41" i="33" s="1"/>
  <c r="S38" i="33"/>
  <c r="F32" i="33"/>
  <c r="AA32" i="33"/>
  <c r="J19" i="33"/>
  <c r="AC19" i="33"/>
  <c r="J15" i="33"/>
  <c r="AC15" i="33" s="1"/>
  <c r="F11" i="33"/>
  <c r="AA11" i="33"/>
  <c r="U40" i="33"/>
  <c r="W40" i="33"/>
  <c r="U8" i="33"/>
  <c r="S8" i="33"/>
  <c r="F37" i="40"/>
  <c r="AA37" i="40"/>
  <c r="F36" i="40"/>
  <c r="AA36" i="40" s="1"/>
  <c r="H28" i="40"/>
  <c r="U28" i="40"/>
  <c r="F23" i="40"/>
  <c r="S23" i="40" s="1"/>
  <c r="AA23" i="40"/>
  <c r="F17" i="40"/>
  <c r="AA17" i="40"/>
  <c r="J17" i="40"/>
  <c r="W17" i="40" s="1"/>
  <c r="F15" i="40"/>
  <c r="S15" i="40"/>
  <c r="H15" i="40"/>
  <c r="AB15" i="40"/>
  <c r="AC11" i="40"/>
  <c r="S12" i="36"/>
  <c r="AA12" i="36"/>
  <c r="AB30" i="36"/>
  <c r="AC34" i="36"/>
  <c r="U33" i="35"/>
  <c r="F29" i="35"/>
  <c r="H29" i="35"/>
  <c r="AB29" i="35" s="1"/>
  <c r="H33" i="37"/>
  <c r="AB33" i="37"/>
  <c r="F33" i="37"/>
  <c r="AA33" i="37"/>
  <c r="U34" i="37"/>
  <c r="W33" i="37"/>
  <c r="S34" i="37"/>
  <c r="AA34" i="37"/>
  <c r="J43" i="34"/>
  <c r="AB42" i="34"/>
  <c r="J40" i="34"/>
  <c r="F114" i="34"/>
  <c r="G114" i="34"/>
  <c r="H114" i="34" s="1"/>
  <c r="I114" i="34"/>
  <c r="J114" i="34" s="1"/>
  <c r="K114" i="34" s="1"/>
  <c r="L114" i="34" s="1"/>
  <c r="M114" i="34" s="1"/>
  <c r="H38" i="34"/>
  <c r="AB38" i="34" s="1"/>
  <c r="J36" i="34"/>
  <c r="W36" i="34"/>
  <c r="H37" i="34"/>
  <c r="H25" i="34"/>
  <c r="AB25" i="34" s="1"/>
  <c r="J25" i="34"/>
  <c r="AC25" i="34" s="1"/>
  <c r="F23" i="34"/>
  <c r="AA23" i="34"/>
  <c r="J19" i="34"/>
  <c r="AC19" i="34"/>
  <c r="F17" i="34"/>
  <c r="J17" i="34"/>
  <c r="W17" i="34" s="1"/>
  <c r="AB17" i="34"/>
  <c r="AA15" i="34"/>
  <c r="S41" i="33"/>
  <c r="H37" i="33"/>
  <c r="AB37" i="33" s="1"/>
  <c r="H15" i="33"/>
  <c r="AB15" i="33" s="1"/>
  <c r="H11" i="33"/>
  <c r="U11" i="33" s="1"/>
  <c r="AB11" i="33"/>
  <c r="F28" i="40"/>
  <c r="AA28" i="40"/>
  <c r="AA42" i="34"/>
  <c r="S42" i="34"/>
  <c r="AC38" i="34"/>
  <c r="AA38" i="34"/>
  <c r="J37" i="34"/>
  <c r="J11" i="33"/>
  <c r="W11" i="33"/>
  <c r="S28" i="34"/>
  <c r="U23" i="40"/>
  <c r="K123" i="21"/>
  <c r="L123" i="21"/>
  <c r="M123" i="21" s="1"/>
  <c r="J42" i="21"/>
  <c r="AC42" i="21" s="1"/>
  <c r="H42" i="21"/>
  <c r="U42" i="21" s="1"/>
  <c r="J44" i="34"/>
  <c r="F44" i="34"/>
  <c r="S44" i="34" s="1"/>
  <c r="AA44" i="34"/>
  <c r="J10" i="35"/>
  <c r="W10" i="35" s="1"/>
  <c r="J14" i="21"/>
  <c r="W14" i="21" s="1"/>
  <c r="S14" i="21"/>
  <c r="H14" i="21"/>
  <c r="U14" i="21"/>
  <c r="H28" i="21"/>
  <c r="AB28" i="21" s="1"/>
  <c r="F28" i="21"/>
  <c r="AA28" i="21" s="1"/>
  <c r="J28" i="21"/>
  <c r="W28" i="21"/>
  <c r="H30" i="21"/>
  <c r="U30" i="21" s="1"/>
  <c r="F30" i="21"/>
  <c r="S30" i="21" s="1"/>
  <c r="J30" i="21"/>
  <c r="AC30" i="21"/>
  <c r="AC44" i="21"/>
  <c r="H44" i="21"/>
  <c r="U44" i="21" s="1"/>
  <c r="F44" i="21"/>
  <c r="AA44" i="21" s="1"/>
  <c r="H46" i="21"/>
  <c r="U46" i="21"/>
  <c r="J46" i="21"/>
  <c r="W46" i="21"/>
  <c r="F46" i="21"/>
  <c r="AA46" i="21"/>
  <c r="E119" i="21"/>
  <c r="F119" i="21" s="1"/>
  <c r="G119" i="21" s="1"/>
  <c r="H119" i="21" s="1"/>
  <c r="I119" i="21" s="1"/>
  <c r="J119" i="21" s="1"/>
  <c r="K119" i="21" s="1"/>
  <c r="L119" i="21" s="1"/>
  <c r="M119" i="21" s="1"/>
  <c r="U26" i="33"/>
  <c r="H28" i="33"/>
  <c r="U28" i="33" s="1"/>
  <c r="F28" i="33"/>
  <c r="AA28" i="33" s="1"/>
  <c r="J28" i="33"/>
  <c r="W28" i="33"/>
  <c r="F33" i="35"/>
  <c r="S33" i="35"/>
  <c r="J33" i="35"/>
  <c r="AC33" i="35" s="1"/>
  <c r="F30" i="35"/>
  <c r="S30" i="35" s="1"/>
  <c r="E89" i="35"/>
  <c r="F89" i="35"/>
  <c r="G89" i="35" s="1"/>
  <c r="H89" i="35"/>
  <c r="I89" i="35"/>
  <c r="J89" i="35" s="1"/>
  <c r="K89" i="35" s="1"/>
  <c r="L89" i="35" s="1"/>
  <c r="M89" i="35" s="1"/>
  <c r="H10" i="36"/>
  <c r="AB10" i="36" s="1"/>
  <c r="J14" i="36"/>
  <c r="AC14" i="36"/>
  <c r="H14" i="36"/>
  <c r="U14" i="36"/>
  <c r="F28" i="36"/>
  <c r="AA28" i="36"/>
  <c r="J13" i="21"/>
  <c r="AC13" i="21" s="1"/>
  <c r="H27" i="21"/>
  <c r="AB27" i="21" s="1"/>
  <c r="AA27" i="21"/>
  <c r="H29" i="21"/>
  <c r="U29" i="21" s="1"/>
  <c r="J31" i="21"/>
  <c r="AC31" i="21" s="1"/>
  <c r="F31" i="21"/>
  <c r="S31" i="21" s="1"/>
  <c r="F45" i="21"/>
  <c r="AA45" i="21"/>
  <c r="F27" i="33"/>
  <c r="AA27" i="33"/>
  <c r="J13" i="33"/>
  <c r="AC13" i="33" s="1"/>
  <c r="H13" i="33"/>
  <c r="AB13" i="33"/>
  <c r="F13" i="33"/>
  <c r="S13" i="33" s="1"/>
  <c r="J29" i="33"/>
  <c r="AC29" i="33" s="1"/>
  <c r="H29" i="33"/>
  <c r="U29" i="33"/>
  <c r="S29" i="33"/>
  <c r="J31" i="33"/>
  <c r="W31" i="33" s="1"/>
  <c r="H31" i="33"/>
  <c r="U31" i="33" s="1"/>
  <c r="F31" i="33"/>
  <c r="H45" i="33"/>
  <c r="U45" i="33" s="1"/>
  <c r="J45" i="33"/>
  <c r="W45" i="33"/>
  <c r="F45" i="33"/>
  <c r="J14" i="34"/>
  <c r="W14" i="34"/>
  <c r="F14" i="34"/>
  <c r="S14" i="34" s="1"/>
  <c r="H30" i="34"/>
  <c r="F30" i="34"/>
  <c r="S30" i="34" s="1"/>
  <c r="J30" i="34"/>
  <c r="AC30" i="34" s="1"/>
  <c r="W30" i="34"/>
  <c r="H32" i="34"/>
  <c r="F32" i="34"/>
  <c r="J32" i="34"/>
  <c r="W32" i="34"/>
  <c r="H46" i="34"/>
  <c r="U46" i="34" s="1"/>
  <c r="F46" i="34"/>
  <c r="J46" i="34"/>
  <c r="H11" i="35"/>
  <c r="J11" i="35"/>
  <c r="AC11" i="35"/>
  <c r="F11" i="35"/>
  <c r="S11" i="35" s="1"/>
  <c r="J26" i="36"/>
  <c r="W26" i="36"/>
  <c r="H28" i="36"/>
  <c r="U28" i="36"/>
  <c r="J11" i="36"/>
  <c r="W11" i="36" s="1"/>
  <c r="H11" i="36"/>
  <c r="U11" i="36"/>
  <c r="F11" i="36"/>
  <c r="AA11" i="36"/>
  <c r="H13" i="36"/>
  <c r="AB13" i="36" s="1"/>
  <c r="J13" i="36"/>
  <c r="W13" i="36" s="1"/>
  <c r="F13" i="36"/>
  <c r="S13" i="36" s="1"/>
  <c r="E89" i="37"/>
  <c r="F89" i="37" s="1"/>
  <c r="G89" i="37"/>
  <c r="H89" i="37"/>
  <c r="I89" i="37" s="1"/>
  <c r="J89" i="37" s="1"/>
  <c r="K89" i="37" s="1"/>
  <c r="L89" i="37" s="1"/>
  <c r="M89" i="37" s="1"/>
  <c r="J29" i="37"/>
  <c r="W29" i="37"/>
  <c r="F29" i="37"/>
  <c r="S29" i="37" s="1"/>
  <c r="F105" i="37"/>
  <c r="G105" i="37" s="1"/>
  <c r="H36" i="37"/>
  <c r="AB36" i="37" s="1"/>
  <c r="F107" i="37"/>
  <c r="G107" i="37" s="1"/>
  <c r="H107" i="37" s="1"/>
  <c r="J37" i="37"/>
  <c r="AC37" i="37"/>
  <c r="H37" i="37"/>
  <c r="U37" i="37" s="1"/>
  <c r="H40" i="37"/>
  <c r="U40" i="37"/>
  <c r="J40" i="37"/>
  <c r="F40" i="37"/>
  <c r="AA40" i="37"/>
  <c r="AC12" i="40"/>
  <c r="W12" i="40"/>
  <c r="H14" i="33"/>
  <c r="U14" i="33"/>
  <c r="F14" i="33"/>
  <c r="J14" i="33"/>
  <c r="H30" i="33"/>
  <c r="AB30" i="33" s="1"/>
  <c r="F30" i="33"/>
  <c r="J30" i="33"/>
  <c r="H44" i="33"/>
  <c r="J44" i="33"/>
  <c r="AC44" i="33" s="1"/>
  <c r="S44" i="33"/>
  <c r="J46" i="33"/>
  <c r="AC46" i="33" s="1"/>
  <c r="F46" i="33"/>
  <c r="AA46" i="33"/>
  <c r="H46" i="33"/>
  <c r="U46" i="33" s="1"/>
  <c r="AB46" i="33"/>
  <c r="H13" i="34"/>
  <c r="U13" i="34"/>
  <c r="J13" i="34"/>
  <c r="W13" i="34" s="1"/>
  <c r="F13" i="34"/>
  <c r="AA13" i="34" s="1"/>
  <c r="J29" i="34"/>
  <c r="F29" i="34"/>
  <c r="S29" i="34" s="1"/>
  <c r="H29" i="34"/>
  <c r="U29" i="34" s="1"/>
  <c r="H31" i="34"/>
  <c r="AB31" i="34" s="1"/>
  <c r="H45" i="34"/>
  <c r="U45" i="34"/>
  <c r="J45" i="34"/>
  <c r="W45" i="34"/>
  <c r="F45" i="34"/>
  <c r="S45" i="34"/>
  <c r="H47" i="34"/>
  <c r="U47" i="34" s="1"/>
  <c r="F47" i="34"/>
  <c r="S47" i="34"/>
  <c r="J47" i="34"/>
  <c r="AC47" i="34"/>
  <c r="F13" i="35"/>
  <c r="J13" i="35"/>
  <c r="AC13" i="35" s="1"/>
  <c r="H13" i="35"/>
  <c r="U13" i="35" s="1"/>
  <c r="J25" i="35"/>
  <c r="W25" i="35"/>
  <c r="F25" i="35"/>
  <c r="AA25" i="35" s="1"/>
  <c r="S25" i="35"/>
  <c r="H25" i="35"/>
  <c r="AB25" i="35" s="1"/>
  <c r="J35" i="35"/>
  <c r="AC35" i="35" s="1"/>
  <c r="F35" i="35"/>
  <c r="AA35" i="35"/>
  <c r="H35" i="35"/>
  <c r="AB35" i="35"/>
  <c r="J25" i="36"/>
  <c r="F25" i="36"/>
  <c r="S25" i="36"/>
  <c r="AB25" i="36"/>
  <c r="H13" i="37"/>
  <c r="AB13" i="37"/>
  <c r="F13" i="37"/>
  <c r="S13" i="37" s="1"/>
  <c r="J13" i="37"/>
  <c r="W13" i="37" s="1"/>
  <c r="AA28" i="37"/>
  <c r="J28" i="37"/>
  <c r="AC28" i="37" s="1"/>
  <c r="H28" i="37"/>
  <c r="U28" i="37" s="1"/>
  <c r="H38" i="37"/>
  <c r="AB38" i="37"/>
  <c r="J38" i="37"/>
  <c r="AC38" i="37"/>
  <c r="F38" i="37"/>
  <c r="S38" i="37"/>
  <c r="F43" i="39"/>
  <c r="AA43" i="39" s="1"/>
  <c r="H43" i="39"/>
  <c r="J14" i="39"/>
  <c r="F14" i="39"/>
  <c r="H14" i="39"/>
  <c r="AB14" i="39" s="1"/>
  <c r="F12" i="40"/>
  <c r="S12" i="40" s="1"/>
  <c r="H12" i="40"/>
  <c r="AB12" i="40" s="1"/>
  <c r="H30" i="40"/>
  <c r="AB30" i="40"/>
  <c r="F33" i="40"/>
  <c r="AA33" i="40"/>
  <c r="H33" i="40"/>
  <c r="J35" i="40"/>
  <c r="AC35" i="40"/>
  <c r="J37" i="40"/>
  <c r="AC37" i="40"/>
  <c r="H13" i="40"/>
  <c r="U13" i="40"/>
  <c r="J13" i="40"/>
  <c r="F13" i="40"/>
  <c r="AA13" i="40" s="1"/>
  <c r="F14" i="37"/>
  <c r="S14" i="37"/>
  <c r="F27" i="37"/>
  <c r="AA27" i="37"/>
  <c r="F13" i="39"/>
  <c r="J13" i="39"/>
  <c r="W13" i="39"/>
  <c r="H13" i="39"/>
  <c r="H14" i="40"/>
  <c r="AB14" i="40"/>
  <c r="J14" i="40"/>
  <c r="W14" i="40"/>
  <c r="F14" i="40"/>
  <c r="AA14" i="40" s="1"/>
  <c r="J14" i="37"/>
  <c r="W14" i="37" s="1"/>
  <c r="J27" i="37"/>
  <c r="AC27" i="37"/>
  <c r="AA44" i="33"/>
  <c r="J36" i="37"/>
  <c r="AC36" i="37" s="1"/>
  <c r="AB11" i="36"/>
  <c r="J10" i="36"/>
  <c r="AC10" i="36" s="1"/>
  <c r="AB30" i="21"/>
  <c r="AA14" i="37"/>
  <c r="W31" i="34"/>
  <c r="AC13" i="36"/>
  <c r="S11" i="36"/>
  <c r="W11" i="35"/>
  <c r="AB46" i="34"/>
  <c r="AA14" i="34"/>
  <c r="AB45" i="33"/>
  <c r="AB31" i="33"/>
  <c r="W29" i="33"/>
  <c r="U13" i="33"/>
  <c r="AC28" i="21"/>
  <c r="F17" i="21"/>
  <c r="AA17" i="21" s="1"/>
  <c r="H17" i="21"/>
  <c r="F15" i="21"/>
  <c r="S15" i="21"/>
  <c r="AB11" i="21"/>
  <c r="J41" i="39"/>
  <c r="W41" i="39"/>
  <c r="W44" i="39"/>
  <c r="W36" i="39"/>
  <c r="W35" i="39"/>
  <c r="U36" i="39"/>
  <c r="S35" i="39"/>
  <c r="G544" i="3"/>
  <c r="G540" i="3"/>
  <c r="G536" i="3"/>
  <c r="G535" i="3"/>
  <c r="G532" i="3"/>
  <c r="G527" i="3"/>
  <c r="G523" i="3"/>
  <c r="G518" i="3"/>
  <c r="G514" i="3"/>
  <c r="G510" i="3"/>
  <c r="G508" i="3"/>
  <c r="G504" i="3"/>
  <c r="G500" i="3"/>
  <c r="G496" i="3"/>
  <c r="G584" i="3"/>
  <c r="G580" i="3"/>
  <c r="G576" i="3"/>
  <c r="G572" i="3"/>
  <c r="G568" i="3"/>
  <c r="G564" i="3"/>
  <c r="G554" i="3"/>
  <c r="G550" i="3"/>
  <c r="BL564" i="3"/>
  <c r="BL560" i="3"/>
  <c r="BL554" i="3"/>
  <c r="BL546" i="3"/>
  <c r="BL522" i="3"/>
  <c r="AZ522" i="3" s="1"/>
  <c r="BL516" i="3"/>
  <c r="BL512" i="3"/>
  <c r="BL506" i="3"/>
  <c r="BL502" i="3"/>
  <c r="AZ502" i="3" s="1"/>
  <c r="BL498" i="3"/>
  <c r="BL494" i="3"/>
  <c r="BL578" i="3"/>
  <c r="BL574" i="3"/>
  <c r="BL570" i="3"/>
  <c r="BL562" i="3"/>
  <c r="BL556" i="3"/>
  <c r="G533" i="3"/>
  <c r="G529" i="3"/>
  <c r="BL528" i="3"/>
  <c r="G525" i="3"/>
  <c r="BL524" i="3"/>
  <c r="BL518" i="3"/>
  <c r="BL514" i="3"/>
  <c r="BL510" i="3"/>
  <c r="BL504" i="3"/>
  <c r="BL500" i="3"/>
  <c r="AZ500" i="3" s="1"/>
  <c r="BL496" i="3"/>
  <c r="AZ496" i="3" s="1"/>
  <c r="G493" i="3"/>
  <c r="BA584" i="3"/>
  <c r="BA580" i="3"/>
  <c r="AZ580" i="3" s="1"/>
  <c r="BA578" i="3"/>
  <c r="AZ578" i="3"/>
  <c r="BA566" i="3"/>
  <c r="BA564" i="3"/>
  <c r="BA562" i="3"/>
  <c r="AZ562" i="3" s="1"/>
  <c r="BA556" i="3"/>
  <c r="AZ556" i="3"/>
  <c r="AZ554" i="3"/>
  <c r="BA552" i="3"/>
  <c r="AZ552" i="3" s="1"/>
  <c r="BA548" i="3"/>
  <c r="AZ548" i="3" s="1"/>
  <c r="BA540" i="3"/>
  <c r="BA538" i="3"/>
  <c r="BA536" i="3"/>
  <c r="BA528" i="3"/>
  <c r="AZ528" i="3" s="1"/>
  <c r="BA524" i="3"/>
  <c r="AZ524" i="3" s="1"/>
  <c r="BA522" i="3"/>
  <c r="BA520" i="3"/>
  <c r="BA518" i="3"/>
  <c r="AZ518" i="3"/>
  <c r="BA516" i="3"/>
  <c r="BA514" i="3"/>
  <c r="BA512" i="3"/>
  <c r="BA510" i="3"/>
  <c r="AZ510" i="3" s="1"/>
  <c r="BA508" i="3"/>
  <c r="BA506" i="3"/>
  <c r="BA504" i="3"/>
  <c r="AZ504" i="3"/>
  <c r="BA502" i="3"/>
  <c r="BA500" i="3"/>
  <c r="BA498" i="3"/>
  <c r="AZ498" i="3" s="1"/>
  <c r="BA496" i="3"/>
  <c r="BA494" i="3"/>
  <c r="BA583" i="3"/>
  <c r="AZ583" i="3" s="1"/>
  <c r="BA579" i="3"/>
  <c r="BA565" i="3"/>
  <c r="AZ565" i="3" s="1"/>
  <c r="BA563" i="3"/>
  <c r="AZ563" i="3" s="1"/>
  <c r="BA559" i="3"/>
  <c r="AZ559" i="3" s="1"/>
  <c r="BA553" i="3"/>
  <c r="AZ553" i="3" s="1"/>
  <c r="BA549" i="3"/>
  <c r="BA541" i="3"/>
  <c r="BA539" i="3"/>
  <c r="AZ539" i="3" s="1"/>
  <c r="BA533" i="3"/>
  <c r="BA525" i="3"/>
  <c r="AZ525" i="3" s="1"/>
  <c r="BA523" i="3"/>
  <c r="BA519" i="3"/>
  <c r="BA517" i="3"/>
  <c r="AZ517" i="3" s="1"/>
  <c r="BA515" i="3"/>
  <c r="AZ515" i="3" s="1"/>
  <c r="BA513" i="3"/>
  <c r="AZ513" i="3" s="1"/>
  <c r="BA511" i="3"/>
  <c r="BA507" i="3"/>
  <c r="BA505" i="3"/>
  <c r="BA503" i="3"/>
  <c r="AZ503" i="3" s="1"/>
  <c r="BA501" i="3"/>
  <c r="BA499" i="3"/>
  <c r="BA497" i="3"/>
  <c r="BA495" i="3"/>
  <c r="BA493" i="3"/>
  <c r="G583" i="3"/>
  <c r="G581" i="3"/>
  <c r="G579" i="3"/>
  <c r="G577" i="3"/>
  <c r="G575" i="3"/>
  <c r="G571" i="3"/>
  <c r="G567" i="3"/>
  <c r="G565" i="3"/>
  <c r="G563" i="3"/>
  <c r="G561" i="3"/>
  <c r="BL558" i="3"/>
  <c r="BA557" i="3"/>
  <c r="AZ557" i="3"/>
  <c r="AC557" i="3"/>
  <c r="G557" i="3" s="1"/>
  <c r="BQ557" i="3"/>
  <c r="BL557" i="3" s="1"/>
  <c r="BQ583" i="3"/>
  <c r="BL583" i="3"/>
  <c r="BQ581" i="3"/>
  <c r="BL581" i="3" s="1"/>
  <c r="AZ581" i="3" s="1"/>
  <c r="BQ579" i="3"/>
  <c r="BL579" i="3" s="1"/>
  <c r="BQ577" i="3"/>
  <c r="BL577" i="3"/>
  <c r="BQ575" i="3"/>
  <c r="BL575" i="3"/>
  <c r="BQ573" i="3"/>
  <c r="BQ571" i="3"/>
  <c r="BQ569" i="3"/>
  <c r="BQ567" i="3"/>
  <c r="BQ565" i="3"/>
  <c r="BL565" i="3"/>
  <c r="BQ563" i="3"/>
  <c r="BL563" i="3"/>
  <c r="BQ561" i="3"/>
  <c r="BQ559" i="3"/>
  <c r="BL559" i="3"/>
  <c r="G559" i="3"/>
  <c r="G555" i="3"/>
  <c r="G549" i="3"/>
  <c r="G547" i="3"/>
  <c r="G545" i="3"/>
  <c r="G543" i="3"/>
  <c r="G541" i="3"/>
  <c r="BQ555" i="3"/>
  <c r="BL555" i="3"/>
  <c r="BQ553" i="3"/>
  <c r="BL553" i="3"/>
  <c r="BQ551" i="3"/>
  <c r="BQ549" i="3"/>
  <c r="BQ547" i="3"/>
  <c r="BQ545" i="3"/>
  <c r="BL545" i="3" s="1"/>
  <c r="BQ543" i="3"/>
  <c r="BQ541" i="3"/>
  <c r="BQ539" i="3"/>
  <c r="BL539" i="3"/>
  <c r="BQ537" i="3"/>
  <c r="BQ535" i="3"/>
  <c r="BL535" i="3"/>
  <c r="BQ533" i="3"/>
  <c r="BQ531" i="3"/>
  <c r="BQ529" i="3"/>
  <c r="BL529" i="3"/>
  <c r="AZ529" i="3" s="1"/>
  <c r="BQ527" i="3"/>
  <c r="BQ525" i="3"/>
  <c r="BL525" i="3" s="1"/>
  <c r="BQ523" i="3"/>
  <c r="BL523" i="3"/>
  <c r="AZ523" i="3"/>
  <c r="BA521" i="3"/>
  <c r="AC521" i="3"/>
  <c r="G521" i="3" s="1"/>
  <c r="BQ521" i="3"/>
  <c r="BL521" i="3" s="1"/>
  <c r="AZ521" i="3" s="1"/>
  <c r="BL520" i="3"/>
  <c r="AZ520" i="3"/>
  <c r="G519" i="3"/>
  <c r="G517" i="3"/>
  <c r="G515" i="3"/>
  <c r="G513" i="3"/>
  <c r="G511" i="3"/>
  <c r="BQ519" i="3"/>
  <c r="BL519" i="3"/>
  <c r="AZ519" i="3"/>
  <c r="BQ517" i="3"/>
  <c r="BL517" i="3"/>
  <c r="BQ515" i="3"/>
  <c r="BL515" i="3"/>
  <c r="BQ513" i="3"/>
  <c r="BL513" i="3"/>
  <c r="BQ511" i="3"/>
  <c r="BL511" i="3"/>
  <c r="BA509" i="3"/>
  <c r="AC509" i="3"/>
  <c r="BQ509" i="3"/>
  <c r="BL509" i="3" s="1"/>
  <c r="AZ509" i="3" s="1"/>
  <c r="BL508" i="3"/>
  <c r="AZ508" i="3"/>
  <c r="G507" i="3"/>
  <c r="G505" i="3"/>
  <c r="G503" i="3"/>
  <c r="G501" i="3"/>
  <c r="G499" i="3"/>
  <c r="G497" i="3"/>
  <c r="G495" i="3"/>
  <c r="BQ507" i="3"/>
  <c r="BL507" i="3"/>
  <c r="BQ505" i="3"/>
  <c r="BL505" i="3" s="1"/>
  <c r="AZ505" i="3" s="1"/>
  <c r="BQ503" i="3"/>
  <c r="BL503" i="3" s="1"/>
  <c r="BQ501" i="3"/>
  <c r="BL501" i="3" s="1"/>
  <c r="BQ499" i="3"/>
  <c r="BL499" i="3"/>
  <c r="BQ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E125" i="33"/>
  <c r="F125" i="33"/>
  <c r="G125" i="33" s="1"/>
  <c r="H43" i="33"/>
  <c r="AB43" i="33"/>
  <c r="H17" i="37"/>
  <c r="U17" i="37" s="1"/>
  <c r="AB27" i="37"/>
  <c r="U32" i="33"/>
  <c r="F39" i="33"/>
  <c r="AA39" i="33" s="1"/>
  <c r="E123" i="33"/>
  <c r="F42" i="33"/>
  <c r="AA42" i="33" s="1"/>
  <c r="H28" i="34"/>
  <c r="AB28" i="34"/>
  <c r="F14" i="36"/>
  <c r="AA14" i="36"/>
  <c r="F22" i="36"/>
  <c r="S22" i="36" s="1"/>
  <c r="F26" i="36"/>
  <c r="S26" i="36" s="1"/>
  <c r="H27" i="34"/>
  <c r="AB27" i="34"/>
  <c r="H35" i="34"/>
  <c r="AB35" i="34" s="1"/>
  <c r="F41" i="34"/>
  <c r="S41" i="34"/>
  <c r="H41" i="34"/>
  <c r="U41" i="34" s="1"/>
  <c r="J41" i="34"/>
  <c r="AC41" i="34"/>
  <c r="F10" i="35"/>
  <c r="S10" i="35"/>
  <c r="F24" i="35"/>
  <c r="AA24" i="35" s="1"/>
  <c r="H23" i="37"/>
  <c r="AB23" i="37" s="1"/>
  <c r="J32" i="37"/>
  <c r="AC32" i="37"/>
  <c r="F36" i="37"/>
  <c r="AA36" i="37" s="1"/>
  <c r="F37" i="37"/>
  <c r="AA37" i="37" s="1"/>
  <c r="F31" i="40"/>
  <c r="AA31" i="40" s="1"/>
  <c r="H31" i="40"/>
  <c r="U31" i="40"/>
  <c r="F32" i="40"/>
  <c r="S32" i="40"/>
  <c r="H32" i="40"/>
  <c r="J36" i="40"/>
  <c r="W36" i="40"/>
  <c r="AA41" i="34"/>
  <c r="H19" i="37"/>
  <c r="AB19" i="37"/>
  <c r="F123" i="33"/>
  <c r="G123" i="33"/>
  <c r="H123" i="33" s="1"/>
  <c r="I123" i="33"/>
  <c r="J123" i="33" s="1"/>
  <c r="K123" i="33" s="1"/>
  <c r="L123" i="33" s="1"/>
  <c r="M123" i="33" s="1"/>
  <c r="H42" i="33"/>
  <c r="AB42" i="33"/>
  <c r="J43" i="33"/>
  <c r="AC43" i="33" s="1"/>
  <c r="U43" i="33"/>
  <c r="S28" i="31"/>
  <c r="S27" i="31"/>
  <c r="S26" i="31"/>
  <c r="U14" i="40"/>
  <c r="AC33" i="36"/>
  <c r="U35" i="35"/>
  <c r="W23" i="35"/>
  <c r="AB28" i="37"/>
  <c r="U33" i="37"/>
  <c r="W26" i="37"/>
  <c r="AC8" i="37"/>
  <c r="U26" i="37"/>
  <c r="W47" i="34"/>
  <c r="AB13" i="34"/>
  <c r="AC36" i="34"/>
  <c r="AA13" i="33"/>
  <c r="AC31" i="33"/>
  <c r="AC45" i="33"/>
  <c r="W44" i="33"/>
  <c r="U19" i="21"/>
  <c r="W44" i="21"/>
  <c r="U26" i="21"/>
  <c r="AC46" i="21"/>
  <c r="AB38" i="21"/>
  <c r="F43" i="33"/>
  <c r="AA43" i="33" s="1"/>
  <c r="W15" i="34"/>
  <c r="AC15" i="34"/>
  <c r="I107" i="37"/>
  <c r="J107" i="37"/>
  <c r="K107" i="37" s="1"/>
  <c r="L107" i="37" s="1"/>
  <c r="M107" i="37" s="1"/>
  <c r="H37" i="21"/>
  <c r="U37" i="21" s="1"/>
  <c r="S42" i="21"/>
  <c r="H19" i="34"/>
  <c r="AB19" i="34"/>
  <c r="F36" i="35"/>
  <c r="S36" i="35" s="1"/>
  <c r="J9" i="37"/>
  <c r="W9" i="37"/>
  <c r="H9" i="37"/>
  <c r="AB9" i="37"/>
  <c r="F9" i="37"/>
  <c r="S9" i="37"/>
  <c r="J12" i="37"/>
  <c r="H12" i="37"/>
  <c r="AB12" i="37"/>
  <c r="F12" i="37"/>
  <c r="S12" i="37"/>
  <c r="E71" i="37"/>
  <c r="F71" i="37" s="1"/>
  <c r="G71" i="37" s="1"/>
  <c r="F15" i="37"/>
  <c r="S15" i="37" s="1"/>
  <c r="E94" i="37"/>
  <c r="F31" i="37"/>
  <c r="S31" i="37"/>
  <c r="F12" i="39"/>
  <c r="S12" i="39"/>
  <c r="J42" i="39"/>
  <c r="AC42" i="39"/>
  <c r="H21" i="40"/>
  <c r="F94" i="37"/>
  <c r="G94" i="37" s="1"/>
  <c r="H94" i="37" s="1"/>
  <c r="I94" i="37" s="1"/>
  <c r="J94" i="37" s="1"/>
  <c r="K94" i="37"/>
  <c r="L94" i="37" s="1"/>
  <c r="M94" i="37" s="1"/>
  <c r="H31" i="37"/>
  <c r="U31" i="37"/>
  <c r="J15" i="37"/>
  <c r="W15" i="37"/>
  <c r="U12" i="37"/>
  <c r="AT6" i="3"/>
  <c r="H19" i="40"/>
  <c r="U19" i="40" s="1"/>
  <c r="F88" i="40"/>
  <c r="G88" i="40"/>
  <c r="F19" i="40"/>
  <c r="S19" i="40" s="1"/>
  <c r="S14" i="40"/>
  <c r="W23" i="39"/>
  <c r="AC43" i="39"/>
  <c r="W43" i="39"/>
  <c r="AB44" i="39"/>
  <c r="U44" i="39"/>
  <c r="G101" i="39"/>
  <c r="H37" i="39"/>
  <c r="AB37" i="39" s="1"/>
  <c r="H25" i="39"/>
  <c r="AB25" i="39"/>
  <c r="J25" i="39"/>
  <c r="AC25" i="39" s="1"/>
  <c r="F25" i="39"/>
  <c r="AA25" i="39"/>
  <c r="F15" i="39"/>
  <c r="AA15" i="39" s="1"/>
  <c r="H15" i="39"/>
  <c r="U15" i="39" s="1"/>
  <c r="J15" i="39"/>
  <c r="AC15" i="39" s="1"/>
  <c r="W15" i="39"/>
  <c r="H41" i="39"/>
  <c r="W27" i="39"/>
  <c r="AB34" i="39"/>
  <c r="U40" i="39"/>
  <c r="S42" i="39"/>
  <c r="AA41" i="39"/>
  <c r="W9" i="39"/>
  <c r="W8" i="39"/>
  <c r="J19" i="40"/>
  <c r="AC19" i="40" s="1"/>
  <c r="J50" i="40"/>
  <c r="B54" i="72"/>
  <c r="H103" i="9"/>
  <c r="D8" i="53"/>
  <c r="B16" i="53"/>
  <c r="B33" i="72"/>
  <c r="C7" i="37"/>
  <c r="C7" i="34"/>
  <c r="C7" i="36"/>
  <c r="W35" i="40"/>
  <c r="A118" i="9"/>
  <c r="A4" i="52"/>
  <c r="B41" i="72"/>
  <c r="J11" i="39"/>
  <c r="W11" i="39" s="1"/>
  <c r="F11" i="39"/>
  <c r="S11" i="39" s="1"/>
  <c r="AA11" i="39"/>
  <c r="A12" i="52"/>
  <c r="B56" i="72" s="1"/>
  <c r="G4" i="4"/>
  <c r="I4" i="4"/>
  <c r="K5" i="4"/>
  <c r="B47" i="48"/>
  <c r="A2" i="9"/>
  <c r="AZ24" i="3"/>
  <c r="BL549" i="3"/>
  <c r="AZ549" i="3" s="1"/>
  <c r="AZ494" i="3"/>
  <c r="AZ514" i="3"/>
  <c r="G546" i="3"/>
  <c r="G524" i="3"/>
  <c r="G303" i="3"/>
  <c r="BL304" i="3"/>
  <c r="G305" i="3"/>
  <c r="BL306" i="3"/>
  <c r="BA308" i="3"/>
  <c r="AZ308" i="3" s="1"/>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BL360" i="3"/>
  <c r="G361" i="3"/>
  <c r="BA362" i="3"/>
  <c r="G370" i="3"/>
  <c r="BL371" i="3"/>
  <c r="AZ371" i="3" s="1"/>
  <c r="G372" i="3"/>
  <c r="BL373" i="3"/>
  <c r="BA375" i="3"/>
  <c r="AZ375" i="3" s="1"/>
  <c r="BA376" i="3"/>
  <c r="BL376" i="3"/>
  <c r="AZ376" i="3" s="1"/>
  <c r="G377" i="3"/>
  <c r="BA378" i="3"/>
  <c r="AZ378" i="3" s="1"/>
  <c r="BL378" i="3"/>
  <c r="G379" i="3"/>
  <c r="BA380" i="3"/>
  <c r="G388" i="3"/>
  <c r="BL389" i="3"/>
  <c r="AZ389" i="3" s="1"/>
  <c r="G390" i="3"/>
  <c r="BL391" i="3"/>
  <c r="BA393" i="3"/>
  <c r="BA394" i="3"/>
  <c r="BL394" i="3"/>
  <c r="G113" i="3"/>
  <c r="BA115" i="3"/>
  <c r="BL116" i="3"/>
  <c r="AZ116" i="3"/>
  <c r="G117" i="3"/>
  <c r="BA119" i="3"/>
  <c r="AZ119" i="3" s="1"/>
  <c r="BL120" i="3"/>
  <c r="G121" i="3"/>
  <c r="BA123" i="3"/>
  <c r="AZ123" i="3"/>
  <c r="BL124" i="3"/>
  <c r="G125" i="3"/>
  <c r="BA127" i="3"/>
  <c r="BL128" i="3"/>
  <c r="G129" i="3"/>
  <c r="BA131" i="3"/>
  <c r="AZ131" i="3"/>
  <c r="BL132" i="3"/>
  <c r="AZ132" i="3"/>
  <c r="G133" i="3"/>
  <c r="BA135" i="3"/>
  <c r="AZ135" i="3" s="1"/>
  <c r="BL136" i="3"/>
  <c r="G137" i="3"/>
  <c r="BA139" i="3"/>
  <c r="AZ139" i="3" s="1"/>
  <c r="BL140" i="3"/>
  <c r="AZ140" i="3" s="1"/>
  <c r="G141" i="3"/>
  <c r="BA143" i="3"/>
  <c r="BL144" i="3"/>
  <c r="AZ144" i="3" s="1"/>
  <c r="G145" i="3"/>
  <c r="BA147" i="3"/>
  <c r="AZ147" i="3"/>
  <c r="BL148" i="3"/>
  <c r="AZ148" i="3"/>
  <c r="G149" i="3"/>
  <c r="BA151" i="3"/>
  <c r="BL152" i="3"/>
  <c r="G153" i="3"/>
  <c r="BA155" i="3"/>
  <c r="AZ155" i="3" s="1"/>
  <c r="BL156" i="3"/>
  <c r="G157" i="3"/>
  <c r="BA159" i="3"/>
  <c r="AZ159" i="3"/>
  <c r="BL160" i="3"/>
  <c r="G161" i="3"/>
  <c r="BA163" i="3"/>
  <c r="AZ163" i="3"/>
  <c r="BL164" i="3"/>
  <c r="G165" i="3"/>
  <c r="BA167" i="3"/>
  <c r="AZ167" i="3" s="1"/>
  <c r="BL168" i="3"/>
  <c r="AZ168" i="3" s="1"/>
  <c r="G169" i="3"/>
  <c r="BA171" i="3"/>
  <c r="AZ171" i="3"/>
  <c r="BL172" i="3"/>
  <c r="AZ172" i="3" s="1"/>
  <c r="G173" i="3"/>
  <c r="BA175" i="3"/>
  <c r="AZ175" i="3"/>
  <c r="BL176" i="3"/>
  <c r="G177" i="3"/>
  <c r="BA179" i="3"/>
  <c r="AZ179" i="3" s="1"/>
  <c r="BL180" i="3"/>
  <c r="AZ180" i="3"/>
  <c r="G181" i="3"/>
  <c r="BA183" i="3"/>
  <c r="AZ183" i="3"/>
  <c r="BL184" i="3"/>
  <c r="G185" i="3"/>
  <c r="BA187" i="3"/>
  <c r="AZ187" i="3" s="1"/>
  <c r="BL188" i="3"/>
  <c r="G189" i="3"/>
  <c r="BA191" i="3"/>
  <c r="AZ191" i="3" s="1"/>
  <c r="BL192" i="3"/>
  <c r="G193" i="3"/>
  <c r="BA195" i="3"/>
  <c r="AZ195" i="3" s="1"/>
  <c r="BL196" i="3"/>
  <c r="AZ196" i="3"/>
  <c r="G197" i="3"/>
  <c r="BA199" i="3"/>
  <c r="AZ199" i="3" s="1"/>
  <c r="BL200" i="3"/>
  <c r="G201" i="3"/>
  <c r="BA203" i="3"/>
  <c r="AZ203" i="3" s="1"/>
  <c r="BL204" i="3"/>
  <c r="AZ39" i="3"/>
  <c r="AZ43" i="3"/>
  <c r="AZ59" i="3"/>
  <c r="AZ75" i="3"/>
  <c r="AZ83" i="3"/>
  <c r="AZ160" i="3"/>
  <c r="AZ192" i="3"/>
  <c r="AZ93" i="3"/>
  <c r="AZ97"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AZ390" i="3" s="1"/>
  <c r="BL390" i="3"/>
  <c r="G391" i="3"/>
  <c r="G394" i="3"/>
  <c r="AZ138" i="3"/>
  <c r="AZ146" i="3"/>
  <c r="AZ158" i="3"/>
  <c r="AZ174" i="3"/>
  <c r="AZ178" i="3"/>
  <c r="AZ186" i="3"/>
  <c r="AZ198" i="3"/>
  <c r="AZ202" i="3"/>
  <c r="AZ206" i="3"/>
  <c r="BA16" i="3"/>
  <c r="AZ16" i="3"/>
  <c r="BL303" i="3"/>
  <c r="G304" i="3"/>
  <c r="BA306" i="3"/>
  <c r="AZ306" i="3"/>
  <c r="BL307" i="3"/>
  <c r="G308" i="3"/>
  <c r="BA310" i="3"/>
  <c r="AZ310" i="3"/>
  <c r="BL311" i="3"/>
  <c r="G312" i="3"/>
  <c r="BA314" i="3"/>
  <c r="AZ314" i="3" s="1"/>
  <c r="BL315" i="3"/>
  <c r="G316" i="3"/>
  <c r="BA318" i="3"/>
  <c r="AZ318" i="3" s="1"/>
  <c r="BL319" i="3"/>
  <c r="G320" i="3"/>
  <c r="BA322" i="3"/>
  <c r="AZ322" i="3"/>
  <c r="BL323" i="3"/>
  <c r="AZ323" i="3"/>
  <c r="G324" i="3"/>
  <c r="BA326" i="3"/>
  <c r="AZ326" i="3"/>
  <c r="BL327" i="3"/>
  <c r="AZ327" i="3" s="1"/>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c r="BL352" i="3"/>
  <c r="G353" i="3"/>
  <c r="BA357" i="3"/>
  <c r="AZ357" i="3" s="1"/>
  <c r="BL358" i="3"/>
  <c r="AZ358" i="3" s="1"/>
  <c r="G359" i="3"/>
  <c r="BA361" i="3"/>
  <c r="AZ361" i="3"/>
  <c r="BL362" i="3"/>
  <c r="AZ362" i="3" s="1"/>
  <c r="G363" i="3"/>
  <c r="BA365" i="3"/>
  <c r="BL366" i="3"/>
  <c r="G367" i="3"/>
  <c r="BA369" i="3"/>
  <c r="AZ369" i="3"/>
  <c r="BL370" i="3"/>
  <c r="G371" i="3"/>
  <c r="BA373" i="3"/>
  <c r="AZ373" i="3" s="1"/>
  <c r="BL374" i="3"/>
  <c r="AZ374" i="3"/>
  <c r="G375" i="3"/>
  <c r="BA377" i="3"/>
  <c r="AZ377" i="3" s="1"/>
  <c r="AZ245" i="3"/>
  <c r="AZ265" i="3"/>
  <c r="AZ269" i="3"/>
  <c r="BA379" i="3"/>
  <c r="AZ379" i="3"/>
  <c r="BL380" i="3"/>
  <c r="AZ380" i="3" s="1"/>
  <c r="G381" i="3"/>
  <c r="BA383" i="3"/>
  <c r="AZ383" i="3" s="1"/>
  <c r="BL384" i="3"/>
  <c r="G385" i="3"/>
  <c r="BA387" i="3"/>
  <c r="AZ387" i="3"/>
  <c r="BL388" i="3"/>
  <c r="G389" i="3"/>
  <c r="BA391" i="3"/>
  <c r="AZ391" i="3" s="1"/>
  <c r="BL392" i="3"/>
  <c r="G393" i="3"/>
  <c r="AZ275" i="3"/>
  <c r="AZ291" i="3"/>
  <c r="AZ295" i="3"/>
  <c r="BO5" i="3"/>
  <c r="BM5" i="3"/>
  <c r="F29" i="6"/>
  <c r="BH5" i="3"/>
  <c r="BF5" i="3"/>
  <c r="AZ341" i="3"/>
  <c r="AC5" i="3"/>
  <c r="AZ506" i="3"/>
  <c r="G548" i="3"/>
  <c r="G538" i="3"/>
  <c r="G520" i="3"/>
  <c r="G502" i="3"/>
  <c r="BN5" i="3"/>
  <c r="AZ343" i="3"/>
  <c r="BI5" i="3"/>
  <c r="BE5" i="3"/>
  <c r="G17" i="3"/>
  <c r="BA17" i="3"/>
  <c r="BT5" i="3"/>
  <c r="AZ350" i="3"/>
  <c r="AZ360" i="3"/>
  <c r="AZ364" i="3"/>
  <c r="BA15" i="3"/>
  <c r="AZ384" i="3"/>
  <c r="AZ388" i="3"/>
  <c r="AZ396" i="3"/>
  <c r="AZ394" i="3"/>
  <c r="E8" i="6"/>
  <c r="F27" i="6" s="1"/>
  <c r="G509" i="3"/>
  <c r="BL493" i="3"/>
  <c r="AZ493" i="3" s="1"/>
  <c r="U36" i="40"/>
  <c r="H117" i="43"/>
  <c r="D21" i="43"/>
  <c r="F42" i="43"/>
  <c r="I21" i="43"/>
  <c r="F39" i="43"/>
  <c r="J21" i="43"/>
  <c r="F6" i="1"/>
  <c r="U17" i="39"/>
  <c r="S14" i="35"/>
  <c r="U43" i="21"/>
  <c r="U35" i="21"/>
  <c r="AC35" i="21"/>
  <c r="U10" i="21"/>
  <c r="G9" i="1"/>
  <c r="AZ501" i="3"/>
  <c r="W37" i="37"/>
  <c r="W44" i="34"/>
  <c r="AC44" i="34"/>
  <c r="U13" i="37"/>
  <c r="U12" i="40"/>
  <c r="AA12" i="40"/>
  <c r="J37" i="33"/>
  <c r="W37" i="33"/>
  <c r="AC17" i="34"/>
  <c r="F106" i="33"/>
  <c r="G106" i="33"/>
  <c r="H106" i="33"/>
  <c r="I106" i="33"/>
  <c r="J106" i="33"/>
  <c r="K106" i="33" s="1"/>
  <c r="L106" i="33" s="1"/>
  <c r="M106" i="33" s="1"/>
  <c r="J34" i="33"/>
  <c r="W34" i="33"/>
  <c r="F33" i="34"/>
  <c r="S33" i="34"/>
  <c r="W12" i="36"/>
  <c r="AC12" i="36"/>
  <c r="H20" i="36"/>
  <c r="U20" i="36" s="1"/>
  <c r="J20" i="36"/>
  <c r="W20" i="36"/>
  <c r="W24" i="36"/>
  <c r="J27" i="36"/>
  <c r="AC27" i="36" s="1"/>
  <c r="AC33" i="40"/>
  <c r="F111" i="40"/>
  <c r="G111" i="40" s="1"/>
  <c r="H111" i="40" s="1"/>
  <c r="I111" i="40" s="1"/>
  <c r="J111" i="40" s="1"/>
  <c r="K111" i="40" s="1"/>
  <c r="L111" i="40" s="1"/>
  <c r="M111" i="40" s="1"/>
  <c r="H35" i="40"/>
  <c r="AB35" i="40" s="1"/>
  <c r="AC29" i="35"/>
  <c r="W29" i="35"/>
  <c r="H35" i="37"/>
  <c r="U35" i="37"/>
  <c r="AC14" i="35"/>
  <c r="H20" i="35"/>
  <c r="U20" i="35" s="1"/>
  <c r="F20" i="35"/>
  <c r="AA20" i="35"/>
  <c r="AB23" i="35"/>
  <c r="AB29" i="36"/>
  <c r="U29" i="36"/>
  <c r="H32" i="37"/>
  <c r="AB32" i="37"/>
  <c r="F96" i="37"/>
  <c r="H27" i="40"/>
  <c r="U27" i="40" s="1"/>
  <c r="J27" i="40"/>
  <c r="AC27" i="40"/>
  <c r="F27" i="40"/>
  <c r="J30" i="40"/>
  <c r="AC30" i="40" s="1"/>
  <c r="F30" i="40"/>
  <c r="AA30" i="40" s="1"/>
  <c r="AC21" i="40"/>
  <c r="S31" i="39"/>
  <c r="S11" i="40"/>
  <c r="E98" i="40"/>
  <c r="F98" i="40"/>
  <c r="G98" i="40" s="1"/>
  <c r="H98" i="40" s="1"/>
  <c r="I98" i="40" s="1"/>
  <c r="J98" i="40" s="1"/>
  <c r="K98" i="40"/>
  <c r="L98" i="40" s="1"/>
  <c r="M98" i="40" s="1"/>
  <c r="F10" i="33"/>
  <c r="S10" i="33" s="1"/>
  <c r="F34" i="33"/>
  <c r="S34" i="33" s="1"/>
  <c r="H34" i="33"/>
  <c r="AB34" i="33" s="1"/>
  <c r="U34" i="33"/>
  <c r="F35" i="33"/>
  <c r="S35" i="33" s="1"/>
  <c r="F39" i="34"/>
  <c r="S39" i="34" s="1"/>
  <c r="J39" i="34"/>
  <c r="W39" i="34" s="1"/>
  <c r="F40" i="34"/>
  <c r="AA40" i="34" s="1"/>
  <c r="S40" i="34"/>
  <c r="F43" i="34"/>
  <c r="H44" i="34"/>
  <c r="AB44" i="34" s="1"/>
  <c r="AC38" i="39"/>
  <c r="F39" i="39"/>
  <c r="S39" i="39"/>
  <c r="J39" i="39"/>
  <c r="AC39" i="39" s="1"/>
  <c r="E97" i="39"/>
  <c r="F97" i="39"/>
  <c r="G97" i="39" s="1"/>
  <c r="AZ354" i="3"/>
  <c r="C40" i="11"/>
  <c r="AZ251" i="3"/>
  <c r="AZ288" i="3"/>
  <c r="AZ114" i="3"/>
  <c r="AZ117" i="3"/>
  <c r="AZ31" i="3"/>
  <c r="AZ33" i="3"/>
  <c r="AZ45" i="3"/>
  <c r="AZ50" i="3"/>
  <c r="AZ61" i="3"/>
  <c r="AZ66" i="3"/>
  <c r="AZ72" i="3"/>
  <c r="AZ74" i="3"/>
  <c r="AZ82" i="3"/>
  <c r="F23" i="39"/>
  <c r="AA23" i="39"/>
  <c r="H27" i="36"/>
  <c r="U27" i="36" s="1"/>
  <c r="F27" i="36"/>
  <c r="AA27" i="36"/>
  <c r="H33" i="34"/>
  <c r="AB33" i="34" s="1"/>
  <c r="U33" i="34"/>
  <c r="F32" i="37"/>
  <c r="AA32" i="37"/>
  <c r="G96" i="37"/>
  <c r="H96" i="37" s="1"/>
  <c r="I96" i="37" s="1"/>
  <c r="J96" i="37" s="1"/>
  <c r="K96" i="37" s="1"/>
  <c r="L96" i="37" s="1"/>
  <c r="M96" i="37" s="1"/>
  <c r="F20" i="36"/>
  <c r="AA20" i="36" s="1"/>
  <c r="J33" i="34"/>
  <c r="AC33" i="34" s="1"/>
  <c r="H23" i="39"/>
  <c r="AB23" i="39" s="1"/>
  <c r="U23" i="39"/>
  <c r="D48" i="9"/>
  <c r="M52" i="9" s="1"/>
  <c r="K9" i="1"/>
  <c r="M9" i="1" s="1"/>
  <c r="AE9" i="1"/>
  <c r="D93" i="9"/>
  <c r="K6" i="1"/>
  <c r="W27" i="34"/>
  <c r="AC27" i="34"/>
  <c r="AB34" i="36"/>
  <c r="U34" i="36"/>
  <c r="AB33" i="36"/>
  <c r="U33" i="36"/>
  <c r="AC12" i="39"/>
  <c r="W12" i="39"/>
  <c r="AC39" i="40"/>
  <c r="W39" i="40"/>
  <c r="AZ401" i="3"/>
  <c r="AZ412" i="3"/>
  <c r="AZ417" i="3"/>
  <c r="AZ428" i="3"/>
  <c r="AZ433" i="3"/>
  <c r="AZ465" i="3"/>
  <c r="AZ586" i="3"/>
  <c r="E26" i="43"/>
  <c r="W12" i="33"/>
  <c r="AC12" i="33"/>
  <c r="AZ408" i="3"/>
  <c r="AZ437" i="3"/>
  <c r="AZ441" i="3"/>
  <c r="AZ457" i="3"/>
  <c r="AA39" i="34"/>
  <c r="BL14" i="3"/>
  <c r="AZ266" i="3"/>
  <c r="U30" i="33"/>
  <c r="AC13" i="34"/>
  <c r="AA47" i="34"/>
  <c r="W28" i="37"/>
  <c r="F12" i="33"/>
  <c r="H12" i="39"/>
  <c r="AB12" i="39" s="1"/>
  <c r="F39" i="40"/>
  <c r="BA14" i="3"/>
  <c r="AZ367" i="3"/>
  <c r="AZ213" i="3"/>
  <c r="AZ224" i="3"/>
  <c r="AZ234" i="3"/>
  <c r="AZ281" i="3"/>
  <c r="AZ297" i="3"/>
  <c r="AZ173" i="3"/>
  <c r="AZ181" i="3"/>
  <c r="AZ35" i="3"/>
  <c r="S12" i="1"/>
  <c r="AR12" i="1" s="1"/>
  <c r="R12" i="1"/>
  <c r="B12" i="1"/>
  <c r="E12" i="1" s="1"/>
  <c r="S10" i="1"/>
  <c r="AQ10" i="1" s="1"/>
  <c r="R10" i="1"/>
  <c r="B10" i="1"/>
  <c r="E10" i="1" s="1"/>
  <c r="AZ88" i="3"/>
  <c r="AZ111" i="3"/>
  <c r="K12" i="1"/>
  <c r="M12" i="1" s="1"/>
  <c r="S13" i="1"/>
  <c r="AR13" i="1" s="1"/>
  <c r="R13" i="1"/>
  <c r="S11" i="1"/>
  <c r="AQ11" i="1" s="1"/>
  <c r="R11" i="1"/>
  <c r="S9" i="1"/>
  <c r="AR9" i="1" s="1"/>
  <c r="R9" i="1"/>
  <c r="J51" i="67"/>
  <c r="C42" i="1"/>
  <c r="AC34" i="33"/>
  <c r="AA34" i="33"/>
  <c r="B41" i="1"/>
  <c r="F48" i="9" s="1"/>
  <c r="O52" i="9" s="1"/>
  <c r="F53" i="9"/>
  <c r="AB37" i="40"/>
  <c r="S35" i="40"/>
  <c r="U35" i="40"/>
  <c r="AC36" i="40"/>
  <c r="W38" i="40"/>
  <c r="AA32" i="40"/>
  <c r="S17" i="40"/>
  <c r="AC17" i="40"/>
  <c r="AC15" i="40"/>
  <c r="AB27" i="40"/>
  <c r="S30" i="40"/>
  <c r="S28" i="40"/>
  <c r="AB19" i="40"/>
  <c r="W42" i="39"/>
  <c r="U37" i="39"/>
  <c r="S43"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S23" i="35"/>
  <c r="W24" i="35"/>
  <c r="AB13" i="35"/>
  <c r="U29" i="35"/>
  <c r="U28" i="35"/>
  <c r="AB27" i="35"/>
  <c r="U36" i="35"/>
  <c r="U32" i="35"/>
  <c r="AA33" i="35"/>
  <c r="S32" i="35"/>
  <c r="W32" i="35"/>
  <c r="S28" i="35"/>
  <c r="U22" i="35"/>
  <c r="S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c r="S27" i="34"/>
  <c r="W25" i="34"/>
  <c r="AB8" i="34"/>
  <c r="AA33" i="34"/>
  <c r="U43" i="34"/>
  <c r="AC39" i="34"/>
  <c r="W41" i="34"/>
  <c r="AC42" i="34"/>
  <c r="U39" i="34"/>
  <c r="AB41" i="34"/>
  <c r="AA45" i="34"/>
  <c r="W34" i="34"/>
  <c r="AA25" i="34"/>
  <c r="U28" i="34"/>
  <c r="AA29" i="34"/>
  <c r="U27" i="34"/>
  <c r="S23"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S36" i="33" s="1"/>
  <c r="G111" i="33"/>
  <c r="H111" i="33" s="1"/>
  <c r="I111" i="33" s="1"/>
  <c r="J111" i="33" s="1"/>
  <c r="K111" i="33" s="1"/>
  <c r="L111" i="33" s="1"/>
  <c r="M111" i="33" s="1"/>
  <c r="H108" i="33"/>
  <c r="I108" i="33" s="1"/>
  <c r="J108" i="33" s="1"/>
  <c r="K108" i="33" s="1"/>
  <c r="L108" i="33" s="1"/>
  <c r="M108" i="33" s="1"/>
  <c r="J35" i="33"/>
  <c r="S37" i="33"/>
  <c r="AA37" i="33"/>
  <c r="S39" i="33"/>
  <c r="H101" i="33"/>
  <c r="I101" i="33"/>
  <c r="J101" i="33" s="1"/>
  <c r="K101" i="33" s="1"/>
  <c r="L101" i="33" s="1"/>
  <c r="M101" i="33" s="1"/>
  <c r="J32" i="33"/>
  <c r="S46" i="33"/>
  <c r="S43" i="33"/>
  <c r="F91" i="33"/>
  <c r="H27" i="33"/>
  <c r="F87" i="33"/>
  <c r="H25" i="33"/>
  <c r="F25" i="33"/>
  <c r="J23" i="33"/>
  <c r="F85" i="33"/>
  <c r="G85" i="33" s="1"/>
  <c r="H23" i="33"/>
  <c r="F81" i="33"/>
  <c r="F19" i="33"/>
  <c r="S19" i="33"/>
  <c r="W19" i="33"/>
  <c r="J17" i="33"/>
  <c r="F79" i="33"/>
  <c r="S15" i="33"/>
  <c r="W15" i="33"/>
  <c r="U9" i="33"/>
  <c r="I66" i="33"/>
  <c r="J10" i="33"/>
  <c r="H10" i="33"/>
  <c r="U10" i="33" s="1"/>
  <c r="AA10" i="33"/>
  <c r="AC11" i="33"/>
  <c r="AB14" i="33"/>
  <c r="W43" i="21"/>
  <c r="W36" i="21"/>
  <c r="AB39" i="21"/>
  <c r="AA43" i="21"/>
  <c r="S39" i="21"/>
  <c r="AA38" i="21"/>
  <c r="AA36" i="21"/>
  <c r="AC40" i="21"/>
  <c r="J15" i="21"/>
  <c r="W15" i="21" s="1"/>
  <c r="F77" i="21"/>
  <c r="G77" i="21" s="1"/>
  <c r="F23" i="21"/>
  <c r="S23" i="21" s="1"/>
  <c r="E85" i="21"/>
  <c r="AC11" i="21"/>
  <c r="AA14" i="21"/>
  <c r="AB8" i="21"/>
  <c r="S8" i="21"/>
  <c r="M3" i="43"/>
  <c r="M1" i="43"/>
  <c r="N8" i="43"/>
  <c r="D120" i="9"/>
  <c r="K120" i="9" s="1"/>
  <c r="D121" i="9"/>
  <c r="D7" i="52" s="1"/>
  <c r="C18" i="9"/>
  <c r="D18" i="9"/>
  <c r="F34" i="67"/>
  <c r="F62" i="67" s="1"/>
  <c r="M20" i="67"/>
  <c r="F34" i="15"/>
  <c r="F62" i="15" s="1"/>
  <c r="G13" i="3"/>
  <c r="BL17" i="3"/>
  <c r="AZ17" i="3"/>
  <c r="J56" i="9"/>
  <c r="J57" i="9" s="1"/>
  <c r="J59" i="9" s="1"/>
  <c r="J61" i="9" s="1"/>
  <c r="A24" i="51"/>
  <c r="B18" i="72"/>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B39" i="39"/>
  <c r="W34" i="39"/>
  <c r="U38" i="39"/>
  <c r="S8" i="39"/>
  <c r="S20" i="36"/>
  <c r="S28" i="36"/>
  <c r="AC20" i="36"/>
  <c r="U25" i="36"/>
  <c r="AB28" i="36"/>
  <c r="AA13" i="36"/>
  <c r="W22" i="36"/>
  <c r="S9" i="36"/>
  <c r="AB20" i="35"/>
  <c r="AC25" i="35"/>
  <c r="U25" i="35"/>
  <c r="S24" i="35"/>
  <c r="W33" i="35"/>
  <c r="AA30" i="35"/>
  <c r="S35" i="35"/>
  <c r="W35" i="35"/>
  <c r="AA16" i="35"/>
  <c r="AA35" i="37"/>
  <c r="W36" i="37"/>
  <c r="S27" i="37"/>
  <c r="S28" i="37"/>
  <c r="W32" i="37"/>
  <c r="S40" i="37"/>
  <c r="U38" i="37"/>
  <c r="AB37" i="37"/>
  <c r="S33" i="37"/>
  <c r="AC34" i="37"/>
  <c r="AB35" i="37"/>
  <c r="AA11" i="37"/>
  <c r="AA31" i="37"/>
  <c r="U19" i="37"/>
  <c r="AA29" i="37"/>
  <c r="AA8" i="37"/>
  <c r="U8" i="37"/>
  <c r="AB40" i="34"/>
  <c r="U19"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AC33" i="21" s="1"/>
  <c r="H33" i="21"/>
  <c r="AB33" i="21"/>
  <c r="F37" i="21"/>
  <c r="AA37" i="21" s="1"/>
  <c r="AA26" i="21"/>
  <c r="AB14" i="21"/>
  <c r="AB46" i="21"/>
  <c r="U40" i="21"/>
  <c r="AB31" i="21"/>
  <c r="U31" i="21"/>
  <c r="AC15" i="21"/>
  <c r="U13" i="21"/>
  <c r="AB13" i="21"/>
  <c r="W8" i="21"/>
  <c r="S35" i="21"/>
  <c r="AB37" i="21"/>
  <c r="J37" i="21"/>
  <c r="W37" i="21"/>
  <c r="H15" i="21"/>
  <c r="AB15" i="21" s="1"/>
  <c r="J17" i="21"/>
  <c r="AC17" i="21"/>
  <c r="AC19" i="21"/>
  <c r="W39" i="21"/>
  <c r="AC14" i="21"/>
  <c r="W30" i="21"/>
  <c r="S46" i="21"/>
  <c r="H45" i="21"/>
  <c r="U45" i="21" s="1"/>
  <c r="F29" i="21"/>
  <c r="AA29" i="21" s="1"/>
  <c r="S29" i="21"/>
  <c r="F13" i="21"/>
  <c r="AA13" i="21" s="1"/>
  <c r="AC38" i="21"/>
  <c r="H32" i="21"/>
  <c r="H9" i="21"/>
  <c r="AB9" i="21" s="1"/>
  <c r="J9" i="21"/>
  <c r="J32" i="21"/>
  <c r="F32" i="21"/>
  <c r="AA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K4" i="4" s="1"/>
  <c r="B46" i="48" s="1"/>
  <c r="B4" i="72" s="1"/>
  <c r="B5" i="62"/>
  <c r="B73" i="72" s="1"/>
  <c r="C4" i="4"/>
  <c r="M6" i="1"/>
  <c r="O6" i="1" s="1"/>
  <c r="P6" i="1" s="1"/>
  <c r="F30" i="68"/>
  <c r="F48" i="68" s="1"/>
  <c r="F30" i="11"/>
  <c r="C48" i="11" s="1"/>
  <c r="F28" i="67"/>
  <c r="F31" i="12"/>
  <c r="F52" i="9"/>
  <c r="M18" i="67"/>
  <c r="F32" i="67"/>
  <c r="F60" i="67"/>
  <c r="F30" i="69"/>
  <c r="F48" i="69" s="1"/>
  <c r="F32" i="15"/>
  <c r="F60" i="15"/>
  <c r="M18" i="15"/>
  <c r="F28" i="15"/>
  <c r="T11" i="1"/>
  <c r="S7" i="1"/>
  <c r="AR7" i="1" s="1"/>
  <c r="E7" i="70"/>
  <c r="AA39" i="40"/>
  <c r="S39" i="40"/>
  <c r="S12" i="33"/>
  <c r="AA12" i="33"/>
  <c r="D68" i="9"/>
  <c r="F54" i="9"/>
  <c r="J32" i="39"/>
  <c r="W32" i="39" s="1"/>
  <c r="H32" i="39"/>
  <c r="AA32" i="39"/>
  <c r="S32" i="39"/>
  <c r="AB21" i="39"/>
  <c r="U21" i="39"/>
  <c r="AA21" i="39"/>
  <c r="S21" i="39"/>
  <c r="W21" i="39"/>
  <c r="S26" i="35"/>
  <c r="U9" i="35"/>
  <c r="AB9" i="35"/>
  <c r="AA9" i="35"/>
  <c r="S9" i="35"/>
  <c r="AC26" i="35"/>
  <c r="W26" i="35"/>
  <c r="AB26" i="35"/>
  <c r="U26" i="35"/>
  <c r="AC17" i="37"/>
  <c r="S17" i="37"/>
  <c r="J19" i="37"/>
  <c r="AC19" i="37" s="1"/>
  <c r="G75" i="37"/>
  <c r="S19" i="37"/>
  <c r="AA23" i="37"/>
  <c r="J23" i="37"/>
  <c r="AC23" i="37" s="1"/>
  <c r="G79" i="37"/>
  <c r="J10" i="37"/>
  <c r="I60" i="37"/>
  <c r="G63" i="37"/>
  <c r="H11" i="37"/>
  <c r="AB11" i="37" s="1"/>
  <c r="AB10" i="37"/>
  <c r="U10" i="37"/>
  <c r="G70" i="34"/>
  <c r="H11" i="34"/>
  <c r="U11" i="34" s="1"/>
  <c r="AB10" i="34"/>
  <c r="U10" i="34"/>
  <c r="J10" i="34"/>
  <c r="I67" i="34"/>
  <c r="AB41" i="33"/>
  <c r="U41" i="33"/>
  <c r="W35" i="33"/>
  <c r="AC35" i="33"/>
  <c r="J36" i="33"/>
  <c r="H36" i="33"/>
  <c r="U36" i="33" s="1"/>
  <c r="AA36" i="33"/>
  <c r="AC32" i="33"/>
  <c r="W32" i="33"/>
  <c r="U27" i="33"/>
  <c r="AB27" i="33"/>
  <c r="G91" i="33"/>
  <c r="H91" i="33"/>
  <c r="I91" i="33" s="1"/>
  <c r="J91" i="33"/>
  <c r="K91" i="33" s="1"/>
  <c r="L91" i="33" s="1"/>
  <c r="M91" i="33" s="1"/>
  <c r="J27" i="33"/>
  <c r="AC27" i="33" s="1"/>
  <c r="U25" i="33"/>
  <c r="AB25" i="33"/>
  <c r="S25" i="33"/>
  <c r="AA25" i="33"/>
  <c r="G87" i="33"/>
  <c r="H87" i="33" s="1"/>
  <c r="I87" i="33" s="1"/>
  <c r="J87" i="33" s="1"/>
  <c r="K87" i="33" s="1"/>
  <c r="L87" i="33" s="1"/>
  <c r="M87" i="33" s="1"/>
  <c r="J25" i="33"/>
  <c r="W25" i="33" s="1"/>
  <c r="AB23" i="33"/>
  <c r="U23" i="33"/>
  <c r="F23" i="33"/>
  <c r="AC23" i="33"/>
  <c r="W23" i="33"/>
  <c r="AA19" i="33"/>
  <c r="H19" i="33"/>
  <c r="U19" i="33" s="1"/>
  <c r="G81" i="33"/>
  <c r="G79" i="33"/>
  <c r="H17" i="33"/>
  <c r="F17" i="33"/>
  <c r="S17" i="33" s="1"/>
  <c r="W17" i="33"/>
  <c r="AC17" i="33"/>
  <c r="AB10" i="33"/>
  <c r="AC10" i="33"/>
  <c r="W10" i="33"/>
  <c r="AC37" i="21"/>
  <c r="U33" i="21"/>
  <c r="S37" i="21"/>
  <c r="AA23" i="21"/>
  <c r="J23" i="21"/>
  <c r="F85" i="21"/>
  <c r="G85" i="21"/>
  <c r="H23" i="21"/>
  <c r="S13" i="21"/>
  <c r="D6" i="52"/>
  <c r="AP7" i="1"/>
  <c r="W33" i="21"/>
  <c r="S33" i="21"/>
  <c r="AA33" i="21"/>
  <c r="W32" i="21"/>
  <c r="AC32" i="21"/>
  <c r="U9" i="21"/>
  <c r="W9" i="21"/>
  <c r="AC9" i="21"/>
  <c r="AB32" i="21"/>
  <c r="U32" i="21"/>
  <c r="E6" i="70"/>
  <c r="A18" i="62"/>
  <c r="B64" i="72" s="1"/>
  <c r="U32" i="39"/>
  <c r="AB32" i="39"/>
  <c r="AC32" i="39"/>
  <c r="W19" i="37"/>
  <c r="W23" i="37"/>
  <c r="U11" i="37"/>
  <c r="H63" i="37"/>
  <c r="I63" i="37" s="1"/>
  <c r="J63" i="37"/>
  <c r="K63" i="37"/>
  <c r="L63" i="37" s="1"/>
  <c r="M63" i="37" s="1"/>
  <c r="J11" i="37"/>
  <c r="W11" i="37" s="1"/>
  <c r="W10" i="37"/>
  <c r="AC10" i="37"/>
  <c r="AB11" i="34"/>
  <c r="AC10" i="34"/>
  <c r="W10" i="34"/>
  <c r="H70" i="34"/>
  <c r="I70" i="34"/>
  <c r="J70" i="34" s="1"/>
  <c r="K70" i="34" s="1"/>
  <c r="L70" i="34" s="1"/>
  <c r="M70" i="34" s="1"/>
  <c r="J11" i="34"/>
  <c r="W11" i="34" s="1"/>
  <c r="AC36" i="33"/>
  <c r="W36" i="33"/>
  <c r="W27" i="33"/>
  <c r="AC25" i="33"/>
  <c r="AA23" i="33"/>
  <c r="S23" i="33"/>
  <c r="AB19" i="33"/>
  <c r="AA17" i="33"/>
  <c r="U17" i="33"/>
  <c r="AB17" i="33"/>
  <c r="U23" i="21"/>
  <c r="AB23" i="21"/>
  <c r="AC23" i="21"/>
  <c r="W23" i="21"/>
  <c r="AC11" i="37"/>
  <c r="R7" i="1"/>
  <c r="F34" i="11"/>
  <c r="F11" i="12"/>
  <c r="C23" i="12" s="1"/>
  <c r="F34" i="68"/>
  <c r="R8" i="1"/>
  <c r="AE7" i="1"/>
  <c r="AE8" i="1"/>
  <c r="AE6" i="1"/>
  <c r="AG6" i="1"/>
  <c r="H109" i="9"/>
  <c r="M49" i="9" s="1"/>
  <c r="H112" i="9"/>
  <c r="D21" i="53" s="1"/>
  <c r="B39" i="72" s="1"/>
  <c r="H111" i="9"/>
  <c r="D19" i="53" s="1"/>
  <c r="D126" i="9"/>
  <c r="I14" i="74" s="1"/>
  <c r="B8" i="74" s="1"/>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D81" i="71"/>
  <c r="D73" i="71"/>
  <c r="B68" i="71"/>
  <c r="B67" i="71" s="1"/>
  <c r="M11" i="43"/>
  <c r="B117" i="43"/>
  <c r="I122" i="43" s="1"/>
  <c r="J122" i="43" s="1"/>
  <c r="K122" i="43" s="1"/>
  <c r="L122" i="43" s="1"/>
  <c r="M122" i="43" s="1"/>
  <c r="N94" i="46"/>
  <c r="G26" i="43"/>
  <c r="D23" i="67"/>
  <c r="G25" i="12"/>
  <c r="G41" i="11"/>
  <c r="G27" i="12"/>
  <c r="G41" i="68"/>
  <c r="B4" i="62"/>
  <c r="B71" i="72"/>
  <c r="D9" i="53"/>
  <c r="B25" i="72" s="1"/>
  <c r="B24" i="72"/>
  <c r="D123" i="43"/>
  <c r="E123" i="43" s="1"/>
  <c r="F123" i="43" s="1"/>
  <c r="G123" i="43" s="1"/>
  <c r="H123" i="43" s="1"/>
  <c r="O68" i="71"/>
  <c r="M32" i="43"/>
  <c r="N32" i="43"/>
  <c r="O32" i="43"/>
  <c r="P32" i="43"/>
  <c r="C24" i="43"/>
  <c r="J26" i="43"/>
  <c r="L48" i="15"/>
  <c r="AO13" i="1"/>
  <c r="AO7" i="1"/>
  <c r="AO6" i="1"/>
  <c r="D19" i="9"/>
  <c r="E13" i="76"/>
  <c r="F43" i="15"/>
  <c r="F26" i="15"/>
  <c r="E9" i="76"/>
  <c r="D2" i="34"/>
  <c r="M22" i="15"/>
  <c r="D20" i="9"/>
  <c r="C20" i="9"/>
  <c r="AO12" i="1"/>
  <c r="D6" i="73"/>
  <c r="F37" i="15"/>
  <c r="D34" i="9"/>
  <c r="AO8" i="1"/>
  <c r="D35" i="9"/>
  <c r="F7" i="67"/>
  <c r="B13" i="76"/>
  <c r="F41" i="67"/>
  <c r="AO10" i="1"/>
  <c r="D3" i="73"/>
  <c r="E11" i="76"/>
  <c r="E10" i="76"/>
  <c r="B11" i="76"/>
  <c r="F13" i="15"/>
  <c r="F6" i="15"/>
  <c r="M9" i="15"/>
  <c r="F36" i="15"/>
  <c r="M6" i="15"/>
  <c r="C19" i="9"/>
  <c r="M29" i="15"/>
  <c r="D2" i="21"/>
  <c r="F9" i="67"/>
  <c r="D2" i="35"/>
  <c r="D7" i="73"/>
  <c r="F6" i="73"/>
  <c r="E2" i="69"/>
  <c r="F4" i="73"/>
  <c r="B7" i="76"/>
  <c r="L47" i="15"/>
  <c r="D4" i="73"/>
  <c r="F3" i="73"/>
  <c r="AO11" i="1"/>
  <c r="F5" i="73"/>
  <c r="AO9" i="1"/>
  <c r="B9" i="76"/>
  <c r="B12" i="76"/>
  <c r="M23" i="15"/>
  <c r="M26" i="15"/>
  <c r="F42" i="15"/>
  <c r="M27" i="15"/>
  <c r="F40" i="15"/>
  <c r="F41" i="15"/>
  <c r="F9" i="15"/>
  <c r="E8" i="76"/>
  <c r="D5" i="73"/>
  <c r="F16" i="15"/>
  <c r="F8" i="67"/>
  <c r="M8" i="15"/>
  <c r="F8" i="15"/>
  <c r="E12" i="76"/>
  <c r="B8" i="76"/>
  <c r="D2" i="33"/>
  <c r="J15" i="15"/>
  <c r="F7" i="73"/>
  <c r="E7" i="76"/>
  <c r="C76" i="15"/>
  <c r="E2" i="68"/>
  <c r="M24" i="15"/>
  <c r="F38" i="15"/>
  <c r="D2" i="36"/>
  <c r="D2" i="37"/>
  <c r="F7" i="15"/>
  <c r="B10" i="76"/>
  <c r="M28" i="15"/>
  <c r="F20" i="31"/>
  <c r="O67" i="71" l="1"/>
  <c r="O66" i="71"/>
  <c r="L65" i="9"/>
  <c r="M65" i="9" s="1"/>
  <c r="L67" i="9"/>
  <c r="M67" i="9" s="1"/>
  <c r="L63" i="9"/>
  <c r="M63" i="9" s="1"/>
  <c r="M69" i="9" s="1"/>
  <c r="N69" i="9" s="1"/>
  <c r="L68" i="9"/>
  <c r="M68" i="9" s="1"/>
  <c r="L66" i="9"/>
  <c r="M66" i="9" s="1"/>
  <c r="L64" i="9"/>
  <c r="M64" i="9" s="1"/>
  <c r="B38" i="72"/>
  <c r="D20" i="53"/>
  <c r="B40" i="72" s="1"/>
  <c r="W43" i="33"/>
  <c r="AC11" i="39"/>
  <c r="AB32" i="40"/>
  <c r="U32" i="40"/>
  <c r="BL497" i="3"/>
  <c r="AZ497" i="3" s="1"/>
  <c r="BQ5" i="3"/>
  <c r="F28" i="6" s="1"/>
  <c r="F30" i="6" s="1"/>
  <c r="U11" i="35"/>
  <c r="AB11" i="35"/>
  <c r="F62" i="43"/>
  <c r="H66" i="43" s="1"/>
  <c r="S32" i="21"/>
  <c r="T13" i="1"/>
  <c r="AA36" i="35"/>
  <c r="W39" i="39"/>
  <c r="AC12" i="37"/>
  <c r="W12" i="37"/>
  <c r="AZ516" i="3"/>
  <c r="AZ536" i="3"/>
  <c r="AZ584" i="3"/>
  <c r="W25" i="36"/>
  <c r="AC25" i="36"/>
  <c r="AC29" i="36"/>
  <c r="W29" i="36"/>
  <c r="AA19" i="39"/>
  <c r="S19" i="39"/>
  <c r="D16" i="53"/>
  <c r="AC11" i="34"/>
  <c r="E2" i="70"/>
  <c r="AB45" i="21"/>
  <c r="U36" i="37"/>
  <c r="S36" i="37"/>
  <c r="AA43" i="34"/>
  <c r="S43" i="34"/>
  <c r="AB21" i="40"/>
  <c r="U21" i="40"/>
  <c r="AA15" i="37"/>
  <c r="S25" i="21"/>
  <c r="AA25" i="21"/>
  <c r="AZ538" i="3"/>
  <c r="S29" i="35"/>
  <c r="AA29" i="35"/>
  <c r="AC32" i="36"/>
  <c r="W32" i="36"/>
  <c r="S27" i="40"/>
  <c r="AA27" i="40"/>
  <c r="AB12" i="21"/>
  <c r="U12" i="21"/>
  <c r="D124" i="9"/>
  <c r="AB36" i="33"/>
  <c r="C30" i="11"/>
  <c r="U28" i="21"/>
  <c r="AZ540" i="3"/>
  <c r="U33" i="40"/>
  <c r="AB33" i="40"/>
  <c r="AB29" i="34"/>
  <c r="AB8" i="35"/>
  <c r="U8" i="35"/>
  <c r="H25" i="37"/>
  <c r="J25" i="37"/>
  <c r="F25" i="37"/>
  <c r="H110" i="9"/>
  <c r="D18" i="53" s="1"/>
  <c r="B35" i="72" s="1"/>
  <c r="S10" i="21"/>
  <c r="W27" i="36"/>
  <c r="U35" i="34"/>
  <c r="AC14" i="37"/>
  <c r="W13" i="40"/>
  <c r="AC13" i="40"/>
  <c r="AA45" i="33"/>
  <c r="S45" i="33"/>
  <c r="W20" i="35"/>
  <c r="AC20" i="35"/>
  <c r="AB30" i="35"/>
  <c r="U30" i="35"/>
  <c r="B73" i="43"/>
  <c r="C15" i="39"/>
  <c r="D12" i="52"/>
  <c r="AA19" i="40"/>
  <c r="C31" i="12"/>
  <c r="AZ499" i="3"/>
  <c r="AB17" i="21"/>
  <c r="U17" i="21"/>
  <c r="S13" i="35"/>
  <c r="AA13" i="35"/>
  <c r="AC40" i="37"/>
  <c r="W40" i="37"/>
  <c r="AC37" i="34"/>
  <c r="W37" i="34"/>
  <c r="U37" i="34"/>
  <c r="AB37" i="34"/>
  <c r="AC41" i="21"/>
  <c r="W41" i="21"/>
  <c r="AZ582" i="3"/>
  <c r="AZ572" i="3"/>
  <c r="AZ570" i="3"/>
  <c r="AZ561" i="3"/>
  <c r="AZ558" i="3"/>
  <c r="AZ545" i="3"/>
  <c r="AZ544" i="3"/>
  <c r="AZ535" i="3"/>
  <c r="E29" i="6"/>
  <c r="K15" i="1" s="1"/>
  <c r="AZ526" i="3"/>
  <c r="D127" i="9"/>
  <c r="D13" i="52" s="1"/>
  <c r="U15" i="21"/>
  <c r="AZ14" i="3"/>
  <c r="AA14" i="33"/>
  <c r="S14" i="33"/>
  <c r="AA17" i="34"/>
  <c r="S17" i="34"/>
  <c r="AB20" i="36"/>
  <c r="BA532" i="3"/>
  <c r="AZ532" i="3" s="1"/>
  <c r="BL526" i="3"/>
  <c r="U31" i="34"/>
  <c r="W14" i="39"/>
  <c r="AC14" i="39"/>
  <c r="AA9" i="34"/>
  <c r="S9" i="34"/>
  <c r="AC28" i="35"/>
  <c r="W28" i="35"/>
  <c r="J12" i="35"/>
  <c r="H12" i="35"/>
  <c r="AC8" i="40"/>
  <c r="W8" i="40"/>
  <c r="U44" i="34"/>
  <c r="AC30" i="35"/>
  <c r="BD5" i="3"/>
  <c r="AC28" i="34"/>
  <c r="AZ507" i="3"/>
  <c r="F31" i="34"/>
  <c r="AC11" i="36"/>
  <c r="U39" i="37"/>
  <c r="AB39" i="37"/>
  <c r="BA576" i="3"/>
  <c r="AZ576" i="3" s="1"/>
  <c r="BL573" i="3"/>
  <c r="BA573" i="3"/>
  <c r="AZ573" i="3" s="1"/>
  <c r="BL571" i="3"/>
  <c r="AZ571" i="3" s="1"/>
  <c r="BA567" i="3"/>
  <c r="AZ567" i="3" s="1"/>
  <c r="BL566" i="3"/>
  <c r="AZ566" i="3" s="1"/>
  <c r="BA560" i="3"/>
  <c r="AZ560" i="3" s="1"/>
  <c r="BL550" i="3"/>
  <c r="AZ511" i="3"/>
  <c r="J26" i="33"/>
  <c r="J34" i="35"/>
  <c r="AB14" i="37"/>
  <c r="U14" i="37"/>
  <c r="AB9" i="40"/>
  <c r="U9" i="40"/>
  <c r="H24" i="35"/>
  <c r="AZ533" i="3"/>
  <c r="AZ579" i="3"/>
  <c r="AZ512" i="3"/>
  <c r="AA38" i="40"/>
  <c r="S38" i="40"/>
  <c r="BL543" i="3"/>
  <c r="AZ543" i="3" s="1"/>
  <c r="BL541" i="3"/>
  <c r="AZ541" i="3" s="1"/>
  <c r="BA537" i="3"/>
  <c r="AZ537" i="3" s="1"/>
  <c r="BL532" i="3"/>
  <c r="BL530" i="3"/>
  <c r="AZ530" i="3" s="1"/>
  <c r="BL527" i="3"/>
  <c r="AZ527" i="3" s="1"/>
  <c r="E56" i="39"/>
  <c r="AB16" i="35"/>
  <c r="H5" i="3"/>
  <c r="AZ564" i="3"/>
  <c r="BL587" i="3"/>
  <c r="F12" i="35"/>
  <c r="H45" i="39"/>
  <c r="F45" i="39"/>
  <c r="J45" i="39"/>
  <c r="J37" i="39"/>
  <c r="F37" i="39"/>
  <c r="BA555" i="3"/>
  <c r="AZ555" i="3" s="1"/>
  <c r="S26" i="33"/>
  <c r="AA26" i="33"/>
  <c r="BA587" i="3"/>
  <c r="AZ587" i="3" s="1"/>
  <c r="J12" i="21"/>
  <c r="F12" i="21"/>
  <c r="H32" i="36"/>
  <c r="F32" i="36"/>
  <c r="J40" i="40"/>
  <c r="F40" i="40"/>
  <c r="H40" i="40"/>
  <c r="AA31" i="35"/>
  <c r="S31" i="35"/>
  <c r="W30" i="36"/>
  <c r="AC30" i="36"/>
  <c r="AZ547" i="3"/>
  <c r="BA534" i="3"/>
  <c r="AZ534" i="3" s="1"/>
  <c r="AZ531" i="3"/>
  <c r="W16" i="35"/>
  <c r="AC16" i="35"/>
  <c r="S21" i="40"/>
  <c r="AA21" i="40"/>
  <c r="J9" i="36"/>
  <c r="H9" i="36"/>
  <c r="AB30" i="37"/>
  <c r="U30" i="37"/>
  <c r="AZ443" i="3"/>
  <c r="W32" i="40"/>
  <c r="B102" i="43"/>
  <c r="B80" i="43"/>
  <c r="H9" i="34"/>
  <c r="BA550" i="3"/>
  <c r="AZ550" i="3" s="1"/>
  <c r="B98" i="43"/>
  <c r="B76" i="43"/>
  <c r="J23" i="36"/>
  <c r="G582" i="3"/>
  <c r="BA551" i="3"/>
  <c r="AZ551" i="3" s="1"/>
  <c r="G526" i="3"/>
  <c r="AZ403" i="3"/>
  <c r="AZ404" i="3"/>
  <c r="AZ411" i="3"/>
  <c r="AZ413" i="3"/>
  <c r="AZ430" i="3"/>
  <c r="AZ447" i="3"/>
  <c r="BL15" i="3"/>
  <c r="AZ15" i="3" s="1"/>
  <c r="AZ415" i="3"/>
  <c r="AZ439" i="3"/>
  <c r="AZ445" i="3"/>
  <c r="AZ453" i="3"/>
  <c r="G562" i="3"/>
  <c r="G551" i="3"/>
  <c r="AZ398" i="3"/>
  <c r="AZ400" i="3"/>
  <c r="AZ419" i="3"/>
  <c r="AZ420" i="3"/>
  <c r="AZ422" i="3"/>
  <c r="AZ436" i="3"/>
  <c r="AZ440" i="3"/>
  <c r="AZ454" i="3"/>
  <c r="AZ477" i="3"/>
  <c r="AZ481" i="3"/>
  <c r="AZ242" i="3"/>
  <c r="AZ407" i="3"/>
  <c r="AZ410" i="3"/>
  <c r="AZ450" i="3"/>
  <c r="AZ467" i="3"/>
  <c r="AZ476" i="3"/>
  <c r="AZ486" i="3"/>
  <c r="AZ489" i="3"/>
  <c r="AZ492" i="3"/>
  <c r="BK5" i="3"/>
  <c r="BC5" i="3"/>
  <c r="E10" i="6" s="1"/>
  <c r="AZ221" i="3"/>
  <c r="U77" i="71"/>
  <c r="C76" i="71"/>
  <c r="D76" i="71" s="1"/>
  <c r="D77" i="71"/>
  <c r="G432" i="3"/>
  <c r="G449" i="3"/>
  <c r="BL458" i="3"/>
  <c r="AZ458" i="3" s="1"/>
  <c r="G467" i="3"/>
  <c r="BA469" i="3"/>
  <c r="BA470" i="3"/>
  <c r="AZ470" i="3" s="1"/>
  <c r="BA478" i="3"/>
  <c r="AZ478" i="3" s="1"/>
  <c r="G486" i="3"/>
  <c r="BL488" i="3"/>
  <c r="G492" i="3"/>
  <c r="BA319" i="3"/>
  <c r="AZ319" i="3" s="1"/>
  <c r="BL340" i="3"/>
  <c r="AZ340" i="3" s="1"/>
  <c r="G453" i="3"/>
  <c r="BA461" i="3"/>
  <c r="AZ461" i="3" s="1"/>
  <c r="BL466" i="3"/>
  <c r="AZ466" i="3" s="1"/>
  <c r="BL476" i="3"/>
  <c r="BL485" i="3"/>
  <c r="AZ485" i="3" s="1"/>
  <c r="BA488" i="3"/>
  <c r="AZ488" i="3" s="1"/>
  <c r="BL491" i="3"/>
  <c r="AZ491" i="3" s="1"/>
  <c r="BA307" i="3"/>
  <c r="AZ307" i="3" s="1"/>
  <c r="BA317" i="3"/>
  <c r="AZ317" i="3" s="1"/>
  <c r="BL330" i="3"/>
  <c r="AZ330" i="3" s="1"/>
  <c r="BA339" i="3"/>
  <c r="AZ339" i="3" s="1"/>
  <c r="BA370" i="3"/>
  <c r="AZ370" i="3" s="1"/>
  <c r="AZ226" i="3"/>
  <c r="BA462" i="3"/>
  <c r="AZ462" i="3" s="1"/>
  <c r="BL469" i="3"/>
  <c r="BA472" i="3"/>
  <c r="AZ472" i="3" s="1"/>
  <c r="BA210" i="3"/>
  <c r="BL134" i="3"/>
  <c r="BG5" i="3"/>
  <c r="BA424" i="3"/>
  <c r="AZ424" i="3" s="1"/>
  <c r="BA444" i="3"/>
  <c r="AZ444" i="3" s="1"/>
  <c r="BL460" i="3"/>
  <c r="AZ460" i="3" s="1"/>
  <c r="BA473" i="3"/>
  <c r="AZ473" i="3" s="1"/>
  <c r="BL477" i="3"/>
  <c r="BL480" i="3"/>
  <c r="BA483" i="3"/>
  <c r="AZ483" i="3" s="1"/>
  <c r="BL328" i="3"/>
  <c r="AZ328" i="3" s="1"/>
  <c r="BA335" i="3"/>
  <c r="AZ335" i="3" s="1"/>
  <c r="BA366" i="3"/>
  <c r="AZ366" i="3" s="1"/>
  <c r="AZ385" i="3"/>
  <c r="BL209" i="3"/>
  <c r="AZ209" i="3" s="1"/>
  <c r="BA238" i="3"/>
  <c r="AZ238" i="3" s="1"/>
  <c r="BL423" i="3"/>
  <c r="AZ423" i="3" s="1"/>
  <c r="BL443" i="3"/>
  <c r="BA463" i="3"/>
  <c r="AZ463" i="3" s="1"/>
  <c r="BA464" i="3"/>
  <c r="AZ464" i="3" s="1"/>
  <c r="BL471" i="3"/>
  <c r="AZ471" i="3" s="1"/>
  <c r="BA480" i="3"/>
  <c r="AZ480" i="3" s="1"/>
  <c r="BL487" i="3"/>
  <c r="AZ487" i="3" s="1"/>
  <c r="BL490" i="3"/>
  <c r="AZ490" i="3" s="1"/>
  <c r="BA315" i="3"/>
  <c r="AZ315" i="3" s="1"/>
  <c r="BA333" i="3"/>
  <c r="AZ333" i="3" s="1"/>
  <c r="AZ276" i="3"/>
  <c r="AZ289" i="3"/>
  <c r="G421" i="3"/>
  <c r="BL440" i="3"/>
  <c r="BA456" i="3"/>
  <c r="AZ456" i="3" s="1"/>
  <c r="BL462" i="3"/>
  <c r="BA475" i="3"/>
  <c r="AZ475" i="3" s="1"/>
  <c r="BA303" i="3"/>
  <c r="AZ303" i="3" s="1"/>
  <c r="BL324" i="3"/>
  <c r="AZ324" i="3" s="1"/>
  <c r="BA332" i="3"/>
  <c r="AZ332" i="3" s="1"/>
  <c r="BL363" i="3"/>
  <c r="AZ363" i="3" s="1"/>
  <c r="BL386" i="3"/>
  <c r="AZ386" i="3" s="1"/>
  <c r="AZ212" i="3"/>
  <c r="BL228" i="3"/>
  <c r="AZ228" i="3" s="1"/>
  <c r="BL271" i="3"/>
  <c r="G299" i="3"/>
  <c r="BA353" i="3"/>
  <c r="AZ353" i="3" s="1"/>
  <c r="BL381" i="3"/>
  <c r="AZ381" i="3" s="1"/>
  <c r="BA230" i="3"/>
  <c r="BA231" i="3"/>
  <c r="AZ231" i="3" s="1"/>
  <c r="BA233" i="3"/>
  <c r="AZ233" i="3" s="1"/>
  <c r="BL273" i="3"/>
  <c r="AZ273" i="3" s="1"/>
  <c r="BA184" i="3"/>
  <c r="AZ184" i="3" s="1"/>
  <c r="AZ185" i="3"/>
  <c r="AZ207" i="3"/>
  <c r="BA352" i="3"/>
  <c r="AZ352" i="3" s="1"/>
  <c r="BA395" i="3"/>
  <c r="AZ395" i="3" s="1"/>
  <c r="BA211" i="3"/>
  <c r="AZ211" i="3" s="1"/>
  <c r="BL216" i="3"/>
  <c r="AZ216" i="3" s="1"/>
  <c r="BL222" i="3"/>
  <c r="AZ222" i="3" s="1"/>
  <c r="BL223" i="3"/>
  <c r="AZ223" i="3" s="1"/>
  <c r="BL230" i="3"/>
  <c r="BA235" i="3"/>
  <c r="AZ235" i="3" s="1"/>
  <c r="BL240" i="3"/>
  <c r="AZ240" i="3" s="1"/>
  <c r="BL242" i="3"/>
  <c r="BL243" i="3"/>
  <c r="AZ243" i="3" s="1"/>
  <c r="BA248" i="3"/>
  <c r="AZ248" i="3" s="1"/>
  <c r="BA250" i="3"/>
  <c r="BA255" i="3"/>
  <c r="AZ255" i="3" s="1"/>
  <c r="BA257" i="3"/>
  <c r="AZ257" i="3" s="1"/>
  <c r="BA258" i="3"/>
  <c r="AZ258" i="3" s="1"/>
  <c r="BA261" i="3"/>
  <c r="AZ261" i="3" s="1"/>
  <c r="AZ282" i="3"/>
  <c r="BA287" i="3"/>
  <c r="AZ287" i="3" s="1"/>
  <c r="BL296" i="3"/>
  <c r="AZ296" i="3" s="1"/>
  <c r="AZ301" i="3"/>
  <c r="BL121" i="3"/>
  <c r="AZ121" i="3" s="1"/>
  <c r="BL122" i="3"/>
  <c r="AZ122" i="3" s="1"/>
  <c r="AZ62" i="3"/>
  <c r="BL348" i="3"/>
  <c r="AZ348" i="3" s="1"/>
  <c r="BL239" i="3"/>
  <c r="AZ239" i="3" s="1"/>
  <c r="BA254" i="3"/>
  <c r="AZ254" i="3" s="1"/>
  <c r="BA260" i="3"/>
  <c r="BA264" i="3"/>
  <c r="AZ264" i="3" s="1"/>
  <c r="AZ285" i="3"/>
  <c r="BA286" i="3"/>
  <c r="AZ286" i="3" s="1"/>
  <c r="BL142" i="3"/>
  <c r="AZ142" i="3" s="1"/>
  <c r="AZ36" i="3"/>
  <c r="BA392" i="3"/>
  <c r="AZ392" i="3" s="1"/>
  <c r="BA214" i="3"/>
  <c r="AZ214" i="3" s="1"/>
  <c r="BA220" i="3"/>
  <c r="AZ220" i="3" s="1"/>
  <c r="BL229" i="3"/>
  <c r="AZ229" i="3" s="1"/>
  <c r="BL246" i="3"/>
  <c r="AZ246" i="3" s="1"/>
  <c r="AZ284" i="3"/>
  <c r="AZ292" i="3"/>
  <c r="BA299" i="3"/>
  <c r="AZ299" i="3" s="1"/>
  <c r="AZ113" i="3"/>
  <c r="BA368" i="3"/>
  <c r="AZ368" i="3" s="1"/>
  <c r="BL393" i="3"/>
  <c r="AZ393" i="3" s="1"/>
  <c r="BL210" i="3"/>
  <c r="BA215" i="3"/>
  <c r="AZ215" i="3" s="1"/>
  <c r="BL232" i="3"/>
  <c r="AZ232" i="3" s="1"/>
  <c r="BA237" i="3"/>
  <c r="BL250" i="3"/>
  <c r="BL252" i="3"/>
  <c r="AZ252" i="3" s="1"/>
  <c r="BL253" i="3"/>
  <c r="AZ253" i="3" s="1"/>
  <c r="BL257" i="3"/>
  <c r="BL259" i="3"/>
  <c r="AZ259" i="3" s="1"/>
  <c r="G261" i="3"/>
  <c r="BA267" i="3"/>
  <c r="BA268" i="3"/>
  <c r="AZ268" i="3" s="1"/>
  <c r="BA271" i="3"/>
  <c r="AZ271" i="3" s="1"/>
  <c r="BA279" i="3"/>
  <c r="AZ279" i="3" s="1"/>
  <c r="BA283" i="3"/>
  <c r="AZ283" i="3" s="1"/>
  <c r="BA290" i="3"/>
  <c r="AZ290" i="3" s="1"/>
  <c r="BA293" i="3"/>
  <c r="AZ293" i="3" s="1"/>
  <c r="BA298" i="3"/>
  <c r="AZ298" i="3" s="1"/>
  <c r="AZ300" i="3"/>
  <c r="BL115" i="3"/>
  <c r="AZ115" i="3" s="1"/>
  <c r="AZ161" i="3"/>
  <c r="BL365" i="3"/>
  <c r="AZ365" i="3" s="1"/>
  <c r="BA208" i="3"/>
  <c r="AZ208" i="3" s="1"/>
  <c r="BL219" i="3"/>
  <c r="AZ219" i="3" s="1"/>
  <c r="BA227" i="3"/>
  <c r="AZ227" i="3" s="1"/>
  <c r="BL236" i="3"/>
  <c r="AZ236" i="3" s="1"/>
  <c r="BL237" i="3"/>
  <c r="BA241" i="3"/>
  <c r="AZ241" i="3" s="1"/>
  <c r="BL249" i="3"/>
  <c r="AZ249" i="3" s="1"/>
  <c r="BL256" i="3"/>
  <c r="AZ256" i="3" s="1"/>
  <c r="BL260" i="3"/>
  <c r="BL262" i="3"/>
  <c r="AZ262" i="3" s="1"/>
  <c r="BL263" i="3"/>
  <c r="AZ263" i="3" s="1"/>
  <c r="BL267" i="3"/>
  <c r="BA270" i="3"/>
  <c r="AZ270" i="3" s="1"/>
  <c r="BL276" i="3"/>
  <c r="BA280" i="3"/>
  <c r="AZ280" i="3" s="1"/>
  <c r="G291" i="3"/>
  <c r="BL294" i="3"/>
  <c r="BL126" i="3"/>
  <c r="AZ126" i="3" s="1"/>
  <c r="BA133" i="3"/>
  <c r="BA190" i="3"/>
  <c r="AZ190" i="3" s="1"/>
  <c r="BA129" i="3"/>
  <c r="BL143" i="3"/>
  <c r="AZ143" i="3" s="1"/>
  <c r="BA156" i="3"/>
  <c r="AZ156" i="3" s="1"/>
  <c r="U25" i="40"/>
  <c r="AB25" i="40"/>
  <c r="AA25" i="40"/>
  <c r="S25" i="40"/>
  <c r="E11" i="77"/>
  <c r="E7" i="77" s="1"/>
  <c r="C27" i="77" s="1"/>
  <c r="D7" i="77"/>
  <c r="C26" i="77" s="1"/>
  <c r="G281" i="3"/>
  <c r="BL127" i="3"/>
  <c r="AZ127" i="3" s="1"/>
  <c r="BA130" i="3"/>
  <c r="AZ130" i="3" s="1"/>
  <c r="BL145" i="3"/>
  <c r="AZ145" i="3" s="1"/>
  <c r="G146" i="3"/>
  <c r="BA152" i="3"/>
  <c r="AZ152" i="3" s="1"/>
  <c r="BL157" i="3"/>
  <c r="AZ157" i="3" s="1"/>
  <c r="G158" i="3"/>
  <c r="BL162" i="3"/>
  <c r="AZ162" i="3" s="1"/>
  <c r="G163" i="3"/>
  <c r="BL185" i="3"/>
  <c r="BL197" i="3"/>
  <c r="AZ197" i="3" s="1"/>
  <c r="BL51" i="3"/>
  <c r="AZ51" i="3" s="1"/>
  <c r="BA55" i="3"/>
  <c r="BA77" i="3"/>
  <c r="AZ77" i="3" s="1"/>
  <c r="BL86" i="3"/>
  <c r="AZ86" i="3" s="1"/>
  <c r="BL100" i="3"/>
  <c r="AZ100" i="3" s="1"/>
  <c r="BA278" i="3"/>
  <c r="AZ278" i="3" s="1"/>
  <c r="BL129" i="3"/>
  <c r="BL154" i="3"/>
  <c r="AZ154" i="3" s="1"/>
  <c r="BA18" i="3"/>
  <c r="AZ18" i="3" s="1"/>
  <c r="BA63" i="3"/>
  <c r="AZ63" i="3" s="1"/>
  <c r="BA67" i="3"/>
  <c r="AZ76" i="3"/>
  <c r="AZ108" i="3"/>
  <c r="BL277" i="3"/>
  <c r="AZ277" i="3" s="1"/>
  <c r="BA294" i="3"/>
  <c r="BL149" i="3"/>
  <c r="AZ149" i="3" s="1"/>
  <c r="BL151" i="3"/>
  <c r="AZ151" i="3" s="1"/>
  <c r="G152" i="3"/>
  <c r="BA177" i="3"/>
  <c r="AZ177" i="3" s="1"/>
  <c r="BA182" i="3"/>
  <c r="AZ182" i="3" s="1"/>
  <c r="BA205" i="3"/>
  <c r="AZ205" i="3" s="1"/>
  <c r="BA26" i="3"/>
  <c r="AZ26" i="3" s="1"/>
  <c r="BA32" i="3"/>
  <c r="BA34" i="3"/>
  <c r="AZ34" i="3" s="1"/>
  <c r="BA38" i="3"/>
  <c r="AZ38" i="3" s="1"/>
  <c r="BL78" i="3"/>
  <c r="AZ78" i="3" s="1"/>
  <c r="BL90" i="3"/>
  <c r="AZ90" i="3" s="1"/>
  <c r="AZ112" i="3"/>
  <c r="BL274" i="3"/>
  <c r="AZ274" i="3" s="1"/>
  <c r="BL293" i="3"/>
  <c r="BA134" i="3"/>
  <c r="BA137" i="3"/>
  <c r="AZ137" i="3" s="1"/>
  <c r="BA165" i="3"/>
  <c r="AZ165" i="3" s="1"/>
  <c r="BA170" i="3"/>
  <c r="AZ170" i="3" s="1"/>
  <c r="BA176" i="3"/>
  <c r="AZ176" i="3" s="1"/>
  <c r="BA189" i="3"/>
  <c r="AZ189" i="3" s="1"/>
  <c r="BA201" i="3"/>
  <c r="AZ201" i="3" s="1"/>
  <c r="BA204" i="3"/>
  <c r="AZ204" i="3" s="1"/>
  <c r="BL18" i="3"/>
  <c r="BL19" i="3"/>
  <c r="AZ19" i="3" s="1"/>
  <c r="BL23" i="3"/>
  <c r="AZ23" i="3" s="1"/>
  <c r="BL29" i="3"/>
  <c r="BL63" i="3"/>
  <c r="BA80" i="3"/>
  <c r="AZ80" i="3" s="1"/>
  <c r="BA107" i="3"/>
  <c r="AZ107" i="3" s="1"/>
  <c r="BL108" i="3"/>
  <c r="BA272" i="3"/>
  <c r="AZ272" i="3" s="1"/>
  <c r="BL290" i="3"/>
  <c r="BA124" i="3"/>
  <c r="AZ124" i="3" s="1"/>
  <c r="BL133" i="3"/>
  <c r="BA136" i="3"/>
  <c r="AZ136" i="3" s="1"/>
  <c r="BL150" i="3"/>
  <c r="AZ150" i="3" s="1"/>
  <c r="BA164" i="3"/>
  <c r="AZ164" i="3" s="1"/>
  <c r="BA166" i="3"/>
  <c r="AZ166" i="3" s="1"/>
  <c r="BA188" i="3"/>
  <c r="AZ188" i="3" s="1"/>
  <c r="BA194" i="3"/>
  <c r="AZ194" i="3" s="1"/>
  <c r="BA200" i="3"/>
  <c r="AZ200" i="3" s="1"/>
  <c r="G205" i="3"/>
  <c r="G18" i="3"/>
  <c r="BL21" i="3"/>
  <c r="AZ21" i="3" s="1"/>
  <c r="BL25" i="3"/>
  <c r="AZ25" i="3" s="1"/>
  <c r="BL28" i="3"/>
  <c r="AZ28" i="3" s="1"/>
  <c r="BA29" i="3"/>
  <c r="BL32" i="3"/>
  <c r="BL37" i="3"/>
  <c r="AZ37" i="3" s="1"/>
  <c r="G42" i="3"/>
  <c r="BL47" i="3"/>
  <c r="AZ47" i="3" s="1"/>
  <c r="BA58" i="3"/>
  <c r="AZ58" i="3" s="1"/>
  <c r="BA60" i="3"/>
  <c r="AZ60" i="3" s="1"/>
  <c r="BA96" i="3"/>
  <c r="AZ96" i="3" s="1"/>
  <c r="BA98" i="3"/>
  <c r="AZ98" i="3" s="1"/>
  <c r="AC21" i="37"/>
  <c r="G27" i="3"/>
  <c r="G44" i="3"/>
  <c r="G50" i="3"/>
  <c r="BA52" i="3"/>
  <c r="AZ52" i="3" s="1"/>
  <c r="BL58" i="3"/>
  <c r="BA89" i="3"/>
  <c r="AZ89" i="3" s="1"/>
  <c r="BL106" i="3"/>
  <c r="BL107" i="3"/>
  <c r="B60" i="71"/>
  <c r="B61" i="71" s="1"/>
  <c r="T61" i="71" s="1"/>
  <c r="G67" i="71"/>
  <c r="R68" i="71"/>
  <c r="BL20" i="3"/>
  <c r="AZ20" i="3" s="1"/>
  <c r="BA54" i="3"/>
  <c r="AZ54" i="3" s="1"/>
  <c r="BA68" i="3"/>
  <c r="AZ68" i="3" s="1"/>
  <c r="BL73" i="3"/>
  <c r="AZ73" i="3" s="1"/>
  <c r="BA101" i="3"/>
  <c r="AZ101" i="3" s="1"/>
  <c r="BA41" i="3"/>
  <c r="AZ41" i="3" s="1"/>
  <c r="G46" i="3"/>
  <c r="BL53" i="3"/>
  <c r="AZ53" i="3" s="1"/>
  <c r="BL67" i="3"/>
  <c r="BA69" i="3"/>
  <c r="AZ69" i="3" s="1"/>
  <c r="BL77" i="3"/>
  <c r="BL87" i="3"/>
  <c r="AZ87" i="3" s="1"/>
  <c r="G89" i="3"/>
  <c r="BA102" i="3"/>
  <c r="BL109" i="3"/>
  <c r="AZ109" i="3" s="1"/>
  <c r="BL110" i="3"/>
  <c r="AZ110" i="3" s="1"/>
  <c r="F3" i="35"/>
  <c r="D66" i="43"/>
  <c r="E62" i="43" s="1"/>
  <c r="B60" i="43" s="1"/>
  <c r="C28" i="43" s="1"/>
  <c r="N66" i="43"/>
  <c r="F44" i="71"/>
  <c r="F45" i="71" s="1"/>
  <c r="V45" i="71" s="1"/>
  <c r="B48" i="71"/>
  <c r="B49" i="71" s="1"/>
  <c r="T49" i="71" s="1"/>
  <c r="E26" i="77"/>
  <c r="E38" i="77"/>
  <c r="E39" i="77" s="1"/>
  <c r="E29" i="77"/>
  <c r="E32" i="77"/>
  <c r="R35" i="77"/>
  <c r="U34" i="77" s="1"/>
  <c r="R41" i="77"/>
  <c r="BL54" i="3"/>
  <c r="BA56" i="3"/>
  <c r="AZ56" i="3" s="1"/>
  <c r="BA70" i="3"/>
  <c r="AZ70" i="3" s="1"/>
  <c r="BL79" i="3"/>
  <c r="AZ79" i="3" s="1"/>
  <c r="BA81" i="3"/>
  <c r="BA103" i="3"/>
  <c r="AZ103" i="3" s="1"/>
  <c r="BA104" i="3"/>
  <c r="AZ104" i="3" s="1"/>
  <c r="AB21" i="21"/>
  <c r="AA21" i="37"/>
  <c r="S21" i="37"/>
  <c r="P27" i="6"/>
  <c r="P69" i="71"/>
  <c r="D69" i="71"/>
  <c r="C68" i="71"/>
  <c r="G37" i="3"/>
  <c r="BL41" i="3"/>
  <c r="BL55" i="3"/>
  <c r="BA57" i="3"/>
  <c r="AZ57" i="3" s="1"/>
  <c r="G62" i="3"/>
  <c r="BL69" i="3"/>
  <c r="BA71" i="3"/>
  <c r="AZ71" i="3" s="1"/>
  <c r="BL81" i="3"/>
  <c r="BA84" i="3"/>
  <c r="AZ84" i="3" s="1"/>
  <c r="BA94" i="3"/>
  <c r="AZ94" i="3" s="1"/>
  <c r="BA95" i="3"/>
  <c r="AZ95" i="3" s="1"/>
  <c r="G101" i="3"/>
  <c r="BL102" i="3"/>
  <c r="BA105" i="3"/>
  <c r="AZ105" i="3" s="1"/>
  <c r="D22" i="67"/>
  <c r="G34" i="3"/>
  <c r="G5" i="3" s="1"/>
  <c r="B3" i="3" s="1"/>
  <c r="BL42" i="3"/>
  <c r="AZ42" i="3" s="1"/>
  <c r="BL56" i="3"/>
  <c r="G63" i="3"/>
  <c r="BL70" i="3"/>
  <c r="BL71" i="3"/>
  <c r="BL80" i="3"/>
  <c r="BA85" i="3"/>
  <c r="AZ85" i="3" s="1"/>
  <c r="G92" i="3"/>
  <c r="BL103" i="3"/>
  <c r="BA106" i="3"/>
  <c r="W18" i="36"/>
  <c r="Q68" i="71"/>
  <c r="F67" i="71"/>
  <c r="T81" i="71"/>
  <c r="B80" i="71"/>
  <c r="B79" i="71" s="1"/>
  <c r="D89" i="71"/>
  <c r="C88" i="71"/>
  <c r="R14" i="77"/>
  <c r="B23" i="71"/>
  <c r="B22" i="71" s="1"/>
  <c r="B21" i="71" s="1"/>
  <c r="F40" i="69"/>
  <c r="Q37" i="43"/>
  <c r="G56" i="71"/>
  <c r="G57" i="71" s="1"/>
  <c r="W57" i="71" s="1"/>
  <c r="C32" i="77"/>
  <c r="C38" i="77" s="1"/>
  <c r="C39" i="77" s="1"/>
  <c r="C40" i="77" s="1"/>
  <c r="C5" i="68"/>
  <c r="C21" i="69"/>
  <c r="U18" i="35"/>
  <c r="C84" i="71"/>
  <c r="G44" i="71"/>
  <c r="G45" i="71" s="1"/>
  <c r="W45" i="71" s="1"/>
  <c r="B64" i="71"/>
  <c r="B65" i="71" s="1"/>
  <c r="T65" i="71" s="1"/>
  <c r="K56" i="9"/>
  <c r="F80" i="71"/>
  <c r="F79" i="71" s="1"/>
  <c r="G60" i="71"/>
  <c r="G61" i="71" s="1"/>
  <c r="W61" i="71" s="1"/>
  <c r="B72" i="71"/>
  <c r="B71" i="71" s="1"/>
  <c r="M56" i="9"/>
  <c r="D26" i="77"/>
  <c r="D32" i="77" s="1"/>
  <c r="C80" i="71"/>
  <c r="G48" i="71"/>
  <c r="G49" i="71" s="1"/>
  <c r="W49" i="71" s="1"/>
  <c r="B52" i="71"/>
  <c r="B53" i="71" s="1"/>
  <c r="T53" i="71" s="1"/>
  <c r="F64" i="71"/>
  <c r="F65" i="71" s="1"/>
  <c r="V65" i="71" s="1"/>
  <c r="D26" i="43"/>
  <c r="C48" i="68"/>
  <c r="C28" i="67"/>
  <c r="C48" i="69"/>
  <c r="BL13" i="3"/>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5" i="6"/>
  <c r="E13" i="6"/>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F50" i="67"/>
  <c r="C27" i="15"/>
  <c r="F31" i="15"/>
  <c r="C6" i="15"/>
  <c r="B9" i="70"/>
  <c r="F66" i="15"/>
  <c r="J53" i="15"/>
  <c r="L56" i="15" s="1"/>
  <c r="J57" i="15"/>
  <c r="J55" i="15" s="1"/>
  <c r="J58" i="15" s="1"/>
  <c r="Q50" i="15" s="1"/>
  <c r="I54" i="15"/>
  <c r="B11" i="70"/>
  <c r="K1" i="73"/>
  <c r="F68" i="15"/>
  <c r="F51" i="15"/>
  <c r="B6" i="70"/>
  <c r="F64" i="15"/>
  <c r="D102" i="9"/>
  <c r="C103" i="9"/>
  <c r="G20" i="9"/>
  <c r="C32" i="9" s="1"/>
  <c r="F51" i="67"/>
  <c r="B13" i="70"/>
  <c r="B20" i="31"/>
  <c r="B21" i="31" s="1"/>
  <c r="D103" i="9"/>
  <c r="F65" i="15"/>
  <c r="F69" i="15"/>
  <c r="M7" i="15"/>
  <c r="M17" i="15" s="1"/>
  <c r="F50" i="15"/>
  <c r="B12" i="70"/>
  <c r="I1" i="73"/>
  <c r="B39" i="1" s="1"/>
  <c r="B7" i="70"/>
  <c r="F69" i="67"/>
  <c r="F71" i="15"/>
  <c r="B10" i="70"/>
  <c r="Q71" i="15"/>
  <c r="L59" i="15"/>
  <c r="L58" i="15"/>
  <c r="M59" i="15"/>
  <c r="N59" i="15"/>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28" i="67"/>
  <c r="M26" i="67"/>
  <c r="F40" i="67"/>
  <c r="J15" i="67"/>
  <c r="F6" i="67"/>
  <c r="M23" i="67"/>
  <c r="L47" i="67"/>
  <c r="F26" i="67"/>
  <c r="C76" i="67"/>
  <c r="F43" i="67"/>
  <c r="F36" i="67"/>
  <c r="F42" i="67"/>
  <c r="L48" i="67"/>
  <c r="M8" i="67"/>
  <c r="M6" i="67"/>
  <c r="F37" i="67"/>
  <c r="G1" i="73"/>
  <c r="M29" i="67"/>
  <c r="F13" i="67"/>
  <c r="F38" i="67"/>
  <c r="M22" i="67"/>
  <c r="M27" i="67"/>
  <c r="C16" i="15"/>
  <c r="M9" i="67"/>
  <c r="F16" i="67"/>
  <c r="M24" i="67"/>
  <c r="F65" i="67" l="1"/>
  <c r="F70" i="67"/>
  <c r="F68" i="67"/>
  <c r="I54" i="67"/>
  <c r="J57" i="67"/>
  <c r="J55" i="67" s="1"/>
  <c r="J58" i="67" s="1"/>
  <c r="Q50" i="67" s="1"/>
  <c r="L56" i="67"/>
  <c r="J53" i="67"/>
  <c r="Q52" i="67" s="1"/>
  <c r="C27" i="67"/>
  <c r="F31" i="67"/>
  <c r="C6" i="67"/>
  <c r="C32" i="67" s="1"/>
  <c r="Q71" i="67"/>
  <c r="F64" i="67"/>
  <c r="F71" i="67"/>
  <c r="L59" i="67"/>
  <c r="Q61" i="67" s="1"/>
  <c r="M59" i="67"/>
  <c r="L58" i="67"/>
  <c r="Q73" i="67" s="1"/>
  <c r="N59" i="67"/>
  <c r="F66" i="67"/>
  <c r="E13" i="3"/>
  <c r="E237" i="3"/>
  <c r="E565" i="3"/>
  <c r="E17" i="3"/>
  <c r="E583" i="3"/>
  <c r="E336" i="3"/>
  <c r="E293" i="3"/>
  <c r="S6" i="3"/>
  <c r="E506" i="3"/>
  <c r="E338" i="3"/>
  <c r="E298" i="3"/>
  <c r="E53" i="3"/>
  <c r="E501" i="3"/>
  <c r="E426" i="3"/>
  <c r="O6" i="3"/>
  <c r="E359" i="3"/>
  <c r="E97" i="3"/>
  <c r="E511" i="3"/>
  <c r="AK6" i="3"/>
  <c r="E306" i="3"/>
  <c r="E262" i="3"/>
  <c r="E188" i="3"/>
  <c r="E399" i="3"/>
  <c r="E439" i="3"/>
  <c r="E530" i="3"/>
  <c r="E410" i="3"/>
  <c r="E244" i="3"/>
  <c r="E114" i="3"/>
  <c r="E395" i="3"/>
  <c r="E550" i="3"/>
  <c r="E545" i="3"/>
  <c r="E352" i="3"/>
  <c r="E128" i="3"/>
  <c r="E559" i="3"/>
  <c r="V6" i="3"/>
  <c r="E320" i="3"/>
  <c r="E230" i="3"/>
  <c r="E125" i="3"/>
  <c r="E553" i="3"/>
  <c r="N6" i="3"/>
  <c r="E516" i="3"/>
  <c r="E396" i="3"/>
  <c r="E151" i="3"/>
  <c r="E518" i="3"/>
  <c r="E578" i="3"/>
  <c r="E382" i="3"/>
  <c r="E245" i="3"/>
  <c r="E236" i="3"/>
  <c r="E528" i="3"/>
  <c r="E533" i="3"/>
  <c r="E185" i="3"/>
  <c r="E388" i="3"/>
  <c r="E453" i="3"/>
  <c r="E183" i="3"/>
  <c r="E503" i="3"/>
  <c r="AA6" i="3"/>
  <c r="E280" i="3"/>
  <c r="E270" i="3"/>
  <c r="AR6" i="3"/>
  <c r="E538" i="3"/>
  <c r="E380" i="3"/>
  <c r="E216" i="3"/>
  <c r="E175" i="3"/>
  <c r="E343" i="3"/>
  <c r="E508" i="3"/>
  <c r="E555" i="3"/>
  <c r="E337" i="3"/>
  <c r="E397" i="3"/>
  <c r="I6" i="3"/>
  <c r="H6" i="3" s="1"/>
  <c r="E549" i="3"/>
  <c r="E368" i="3"/>
  <c r="E196" i="3"/>
  <c r="E99" i="3"/>
  <c r="E347" i="3"/>
  <c r="E143" i="3"/>
  <c r="E278" i="3"/>
  <c r="E172" i="3"/>
  <c r="E535" i="3"/>
  <c r="E567" i="3"/>
  <c r="E227" i="3"/>
  <c r="E311" i="3"/>
  <c r="E570" i="3"/>
  <c r="AB6" i="3"/>
  <c r="E335" i="3"/>
  <c r="E189" i="3"/>
  <c r="E217" i="3"/>
  <c r="E268" i="3"/>
  <c r="AJ6" i="3"/>
  <c r="E579" i="3"/>
  <c r="E247" i="3"/>
  <c r="E353" i="3"/>
  <c r="AN6" i="3"/>
  <c r="E402" i="3"/>
  <c r="E303" i="3"/>
  <c r="E159" i="3"/>
  <c r="E191" i="3"/>
  <c r="E568" i="3"/>
  <c r="E304" i="3"/>
  <c r="E213" i="3"/>
  <c r="E302" i="3"/>
  <c r="X6" i="3"/>
  <c r="E246" i="3"/>
  <c r="E390" i="3"/>
  <c r="E523" i="3"/>
  <c r="E418" i="3"/>
  <c r="E321" i="3"/>
  <c r="E169" i="3"/>
  <c r="E319" i="3"/>
  <c r="E153" i="3"/>
  <c r="E328" i="3"/>
  <c r="E574" i="3"/>
  <c r="E285" i="3"/>
  <c r="E314" i="3"/>
  <c r="E16" i="3"/>
  <c r="E434" i="3"/>
  <c r="E296" i="3"/>
  <c r="E136" i="3"/>
  <c r="E415" i="3"/>
  <c r="E260" i="3"/>
  <c r="E329" i="3"/>
  <c r="E510" i="3"/>
  <c r="E205" i="3"/>
  <c r="E358" i="3"/>
  <c r="E551" i="3"/>
  <c r="E407" i="3"/>
  <c r="E294" i="3"/>
  <c r="E130" i="3"/>
  <c r="E366" i="3"/>
  <c r="E282" i="3"/>
  <c r="E239" i="3"/>
  <c r="E569" i="3"/>
  <c r="E229" i="3"/>
  <c r="E385" i="3"/>
  <c r="AI6" i="3"/>
  <c r="E423" i="3"/>
  <c r="E263" i="3"/>
  <c r="E269" i="3"/>
  <c r="E361" i="3"/>
  <c r="E124" i="3"/>
  <c r="E561" i="3"/>
  <c r="E231" i="3"/>
  <c r="E305" i="3"/>
  <c r="E536" i="3"/>
  <c r="E228" i="3"/>
  <c r="E69" i="3"/>
  <c r="E563" i="3"/>
  <c r="E445" i="3"/>
  <c r="E539" i="3"/>
  <c r="E461" i="3"/>
  <c r="E165" i="3"/>
  <c r="E514" i="3"/>
  <c r="M6" i="3"/>
  <c r="E387" i="3"/>
  <c r="E215" i="3"/>
  <c r="E134" i="3"/>
  <c r="E526" i="3"/>
  <c r="E322" i="3"/>
  <c r="E509" i="3"/>
  <c r="E431" i="3"/>
  <c r="E201" i="3"/>
  <c r="E495" i="3"/>
  <c r="E586" i="3"/>
  <c r="E350" i="3"/>
  <c r="E301" i="3"/>
  <c r="E148" i="3"/>
  <c r="E261" i="3"/>
  <c r="D88" i="71"/>
  <c r="C87" i="71"/>
  <c r="D87" i="71" s="1"/>
  <c r="AC12" i="21"/>
  <c r="W12" i="21"/>
  <c r="S45" i="39"/>
  <c r="AA45" i="39"/>
  <c r="W12" i="35"/>
  <c r="AC12" i="35"/>
  <c r="C67" i="71"/>
  <c r="P68" i="71"/>
  <c r="D68" i="71"/>
  <c r="AB45" i="39"/>
  <c r="U45" i="39"/>
  <c r="W34" i="35"/>
  <c r="AC34" i="35"/>
  <c r="C41" i="77"/>
  <c r="B2" i="77"/>
  <c r="B3" i="77" s="1"/>
  <c r="AZ81" i="3"/>
  <c r="AC23" i="36"/>
  <c r="W23" i="36"/>
  <c r="AB40" i="40"/>
  <c r="U40" i="40"/>
  <c r="S12" i="35"/>
  <c r="AA12" i="35"/>
  <c r="AC26" i="33"/>
  <c r="W26" i="33"/>
  <c r="E12" i="6"/>
  <c r="AZ67" i="3"/>
  <c r="AZ250" i="3"/>
  <c r="AA40" i="40"/>
  <c r="S40" i="40"/>
  <c r="AA25" i="37"/>
  <c r="S25" i="37"/>
  <c r="M17" i="67"/>
  <c r="BL5" i="3"/>
  <c r="Q66" i="71"/>
  <c r="Q67" i="71"/>
  <c r="AZ102" i="3"/>
  <c r="AZ260" i="3"/>
  <c r="W40" i="40"/>
  <c r="AC40" i="40"/>
  <c r="AB24" i="35"/>
  <c r="U24" i="35"/>
  <c r="W25" i="37"/>
  <c r="AC25" i="37"/>
  <c r="D80" i="71"/>
  <c r="C79" i="71"/>
  <c r="D79" i="71" s="1"/>
  <c r="AZ129" i="3"/>
  <c r="AZ210" i="3"/>
  <c r="AB9" i="36"/>
  <c r="U9" i="36"/>
  <c r="AA32" i="36"/>
  <c r="S32" i="36"/>
  <c r="S37" i="39"/>
  <c r="AA37" i="39"/>
  <c r="U25" i="37"/>
  <c r="AB25" i="37"/>
  <c r="H7" i="36"/>
  <c r="E14" i="6"/>
  <c r="E64" i="39" s="1"/>
  <c r="C83" i="71"/>
  <c r="D83" i="71" s="1"/>
  <c r="D84" i="71"/>
  <c r="AZ237" i="3"/>
  <c r="AB9" i="34"/>
  <c r="U9" i="34"/>
  <c r="AC9" i="36"/>
  <c r="W9" i="36"/>
  <c r="AB32" i="36"/>
  <c r="U32" i="36"/>
  <c r="AC37" i="39"/>
  <c r="W37" i="39"/>
  <c r="D17" i="53"/>
  <c r="B36" i="72" s="1"/>
  <c r="B34" i="72"/>
  <c r="J7" i="21"/>
  <c r="R25" i="77"/>
  <c r="R5" i="77"/>
  <c r="U5" i="77" s="1"/>
  <c r="AZ106" i="3"/>
  <c r="AZ29" i="3"/>
  <c r="AZ134" i="3"/>
  <c r="AZ32" i="3"/>
  <c r="AZ294" i="3"/>
  <c r="AZ55" i="3"/>
  <c r="AZ133" i="3"/>
  <c r="AZ267" i="3"/>
  <c r="AZ230" i="3"/>
  <c r="AZ469" i="3"/>
  <c r="S12" i="21"/>
  <c r="AA12" i="21"/>
  <c r="AC45" i="39"/>
  <c r="W45" i="39"/>
  <c r="S31" i="34"/>
  <c r="AA31" i="34"/>
  <c r="U12" i="35"/>
  <c r="AB12" i="35"/>
  <c r="H14" i="74"/>
  <c r="B7" i="74" s="1"/>
  <c r="D10" i="52"/>
  <c r="D125" i="9"/>
  <c r="D11" i="52" s="1"/>
  <c r="J7" i="36"/>
  <c r="J7" i="33"/>
  <c r="J7" i="34"/>
  <c r="F7" i="34"/>
  <c r="F7" i="21"/>
  <c r="S7" i="21"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K19" i="6" s="1"/>
  <c r="S6" i="1" s="1"/>
  <c r="AZ13" i="3"/>
  <c r="E58" i="40"/>
  <c r="E63" i="39"/>
  <c r="E61" i="39"/>
  <c r="E56" i="40"/>
  <c r="K14" i="1"/>
  <c r="E30" i="6"/>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B2" i="70"/>
  <c r="B3" i="70" s="1"/>
  <c r="Q52" i="15"/>
  <c r="F1" i="15"/>
  <c r="C32" i="15"/>
  <c r="F59" i="67"/>
  <c r="C17" i="15"/>
  <c r="C17" i="67"/>
  <c r="C16" i="67"/>
  <c r="C14" i="67"/>
  <c r="Q74" i="67" l="1"/>
  <c r="Q60" i="67"/>
  <c r="F1" i="67"/>
  <c r="S10" i="39"/>
  <c r="AA7" i="21"/>
  <c r="R48" i="21" s="1"/>
  <c r="AZ5" i="3"/>
  <c r="E3" i="6" s="1"/>
  <c r="F10" i="40"/>
  <c r="AA10" i="40" s="1"/>
  <c r="P66" i="71"/>
  <c r="P67" i="71"/>
  <c r="D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U31" i="43" s="1"/>
  <c r="U32"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V36" i="43" l="1"/>
  <c r="V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F35" i="15"/>
  <c r="M21" i="67"/>
  <c r="F35" i="67"/>
  <c r="M21" i="15"/>
  <c r="C64" i="15" l="1"/>
  <c r="J13" i="15"/>
  <c r="J23" i="15" s="1"/>
  <c r="C56" i="15"/>
  <c r="C65" i="15" s="1"/>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Q47" i="15"/>
  <c r="Q53" i="15" s="1"/>
  <c r="C43" i="15"/>
  <c r="C46" i="15"/>
  <c r="Q65" i="15"/>
  <c r="C83" i="15"/>
  <c r="C82" i="15" s="1"/>
  <c r="B2" i="15"/>
  <c r="B3" i="15" s="1"/>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52" i="72" l="1"/>
  <c r="G4" i="52"/>
  <c r="B22" i="72"/>
  <c r="D6" i="53"/>
  <c r="B21" i="72"/>
  <c r="D7" i="53"/>
  <c r="H102" i="9"/>
  <c r="E97" i="9"/>
  <c r="E96" i="9"/>
  <c r="C96" i="9"/>
  <c r="F119" i="9"/>
  <c r="F5" i="52"/>
  <c r="B53" i="72"/>
  <c r="D54" i="9"/>
  <c r="C68" i="9"/>
  <c r="N58" i="9"/>
  <c r="P57" i="9"/>
  <c r="D119" i="9"/>
  <c r="D5" i="52"/>
  <c r="B49" i="72"/>
  <c r="D9" i="52"/>
  <c r="D123" i="9"/>
  <c r="C81" i="9"/>
  <c r="M55" i="9"/>
  <c r="C64" i="9"/>
  <c r="C63" i="9"/>
  <c r="C67" i="9"/>
  <c r="D59" i="9"/>
  <c r="C105" i="9"/>
  <c r="I4" i="52"/>
  <c r="B32" i="72"/>
  <c r="D14" i="53"/>
  <c r="D118" i="9"/>
  <c r="D4" i="52"/>
  <c r="B47" i="72"/>
  <c r="M54" i="9"/>
  <c r="C85" i="9"/>
  <c r="C95" i="9"/>
  <c r="C97" i="9"/>
  <c r="D58" i="9"/>
  <c r="D56" i="9"/>
  <c r="D5" i="53"/>
  <c r="B20" i="72"/>
  <c r="C73" i="9"/>
  <c r="C78" i="9"/>
  <c r="C5" i="74"/>
  <c r="B5" i="74"/>
  <c r="D5" i="74"/>
  <c r="C6" i="74"/>
  <c r="G14" i="74"/>
  <c r="B6" i="74"/>
  <c r="D6" i="74"/>
  <c r="H5" i="52"/>
  <c r="H119" i="9"/>
  <c r="C86" i="9"/>
  <c r="C93" i="9"/>
  <c r="E14" i="74"/>
  <c r="D14" i="74"/>
  <c r="F14" i="74"/>
  <c r="H4" i="52"/>
  <c r="C104" i="9"/>
  <c r="M48" i="9"/>
  <c r="H108" i="9"/>
  <c r="D15" i="53"/>
  <c r="B31" i="72"/>
  <c r="N60" i="9"/>
  <c r="D55" i="9"/>
  <c r="M53" i="9"/>
  <c r="N57" i="9"/>
  <c r="N59" i="9"/>
  <c r="N61" i="9"/>
  <c r="D122" i="9"/>
  <c r="D8" i="52"/>
  <c r="G118" i="9"/>
  <c r="F118" i="9"/>
  <c r="F4" i="52"/>
  <c r="B51" i="72"/>
  <c r="C72" i="9"/>
  <c r="C79" i="9"/>
  <c r="C80" i="9"/>
  <c r="E80" i="9"/>
  <c r="E81" i="9"/>
  <c r="E118" i="9"/>
  <c r="E4" i="52"/>
  <c r="B48" i="72"/>
  <c r="D53" i="9"/>
  <c r="D45" i="9"/>
  <c r="D52"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<sst xmlns="http://schemas.openxmlformats.org/spreadsheetml/2006/main" count="7745" uniqueCount="3131">
  <si>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</si>
  <si>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</si>
  <si>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</si>
  <si>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</si>
  <si>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</si>
  <si>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</si>
  <si>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</si>
  <si>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</si>
  <si>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</si>
  <si>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</si>
  <si>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</si>
  <si>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</si>
  <si>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</si>
  <si>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</si>
  <si>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</si>
  <si>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</si>
  <si>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</si>
  <si>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</si>
  <si>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</si>
  <si>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</si>
  <si>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</si>
  <si>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</si>
  <si>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</si>
  <si>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</si>
  <si>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</si>
  <si>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</si>
  <si>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</si>
  <si>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</si>
  <si>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</si>
  <si>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</si>
  <si>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</si>
  <si>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</si>
  <si>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</si>
  <si>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</si>
  <si>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</si>
  <si>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</si>
  <si>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</si>
  <si>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</si>
  <si>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</si>
  <si>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</si>
  <si>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</si>
  <si>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</si>
  <si>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</si>
  <si>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</si>
  <si>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</si>
  <si>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</si>
  <si>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</si>
  <si>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</si>
  <si>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</si>
  <si>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</si>
  <si>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</si>
  <si>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</si>
  <si>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</si>
  <si>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</si>
  <si>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</si>
  <si>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</si>
  <si>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</si>
  <si>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</si>
  <si>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</si>
  <si>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</si>
  <si>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</si>
  <si>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</si>
  <si>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</si>
  <si>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</si>
  <si>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</si>
  <si>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</si>
  <si>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</si>
  <si>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</si>
  <si>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</si>
  <si>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</si>
  <si>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</si>
  <si>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</si>
  <si>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</si>
  <si>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</si>
  <si>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</si>
  <si>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</si>
  <si>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</si>
  <si>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</si>
  <si>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</si>
  <si>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</si>
  <si>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</si>
  <si>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</si>
  <si>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</si>
  <si>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</si>
  <si>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</si>
  <si>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</si>
  <si>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</si>
  <si>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</si>
  <si>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</si>
  <si>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</si>
  <si>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</si>
  <si>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</si>
  <si>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</si>
  <si>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</si>
  <si>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</si>
  <si>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</si>
  <si>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</si>
  <si>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</si>
  <si>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</si>
  <si>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</si>
  <si>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</si>
  <si>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</si>
  <si>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</si>
  <si>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</si>
  <si>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</si>
  <si>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</si>
  <si>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</si>
  <si>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</si>
  <si>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</si>
  <si>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</si>
  <si>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</si>
  <si>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</si>
  <si>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</si>
  <si>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</si>
  <si>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</si>
  <si>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</si>
  <si>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</si>
  <si>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</si>
  <si>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</si>
  <si>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</si>
  <si>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</si>
  <si>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</si>
  <si>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</si>
  <si>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</si>
  <si>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</si>
  <si>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</si>
  <si>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</si>
  <si>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</si>
  <si>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</si>
  <si>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</si>
  <si>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</si>
  <si>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</si>
  <si>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</si>
  <si>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</si>
  <si>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</si>
  <si>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</si>
  <si>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</si>
  <si>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</si>
  <si>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</si>
  <si>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</si>
  <si>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</si>
  <si>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</si>
  <si>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</si>
  <si>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</si>
  <si>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</si>
  <si>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</si>
  <si>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</si>
  <si>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</si>
  <si>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</si>
  <si>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</si>
  <si>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</si>
  <si>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</si>
  <si>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</si>
  <si>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</si>
  <si>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</si>
  <si>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</si>
  <si>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</si>
  <si>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</si>
  <si>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</si>
  <si>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</si>
  <si>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</si>
  <si>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</si>
  <si>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</si>
  <si>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</si>
  <si>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</si>
  <si>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</si>
  <si>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</si>
  <si>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</si>
  <si>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</si>
  <si>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</si>
  <si>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</si>
  <si>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</si>
  <si>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</si>
  <si>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</si>
  <si>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</si>
  <si>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</si>
  <si>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</si>
  <si>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</si>
  <si>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</si>
  <si>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</si>
  <si>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</si>
  <si>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</si>
  <si>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</si>
  <si>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</si>
  <si>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</si>
  <si>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</si>
  <si>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</si>
  <si>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</si>
  <si>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</si>
  <si>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</si>
  <si>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</si>
  <si>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</si>
  <si>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</si>
  <si>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</si>
  <si>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</si>
  <si>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</si>
  <si>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</si>
  <si>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</si>
  <si>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</si>
  <si>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</si>
  <si>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</si>
  <si>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</si>
  <si>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</si>
  <si>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</si>
  <si>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</si>
  <si>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</si>
  <si>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</si>
  <si>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</si>
  <si>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</si>
  <si>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</si>
  <si>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</si>
  <si>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</si>
  <si>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</si>
  <si>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</si>
  <si>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</si>
  <si>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</si>
  <si>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</si>
  <si>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</si>
  <si>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</si>
  <si>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</si>
  <si>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</si>
  <si>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</si>
  <si>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</si>
  <si>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</si>
  <si>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</si>
  <si>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</si>
  <si>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</si>
  <si>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</si>
  <si>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</si>
  <si>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</si>
  <si>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</si>
  <si>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</si>
  <si>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</si>
  <si>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</si>
  <si>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</si>
  <si>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</si>
  <si>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</si>
  <si>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</si>
  <si>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</si>
  <si>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</si>
  <si>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</si>
  <si>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</si>
  <si>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</si>
  <si>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</si>
  <si>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</si>
  <si>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</si>
  <si>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</si>
  <si>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</si>
  <si>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</si>
  <si>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</si>
  <si>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</si>
  <si>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</si>
  <si>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</si>
  <si>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</si>
  <si>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</si>
  <si>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</si>
  <si>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</si>
  <si>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</si>
  <si>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</si>
  <si>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</si>
  <si>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</si>
  <si>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</si>
  <si>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</si>
  <si>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</si>
  <si>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</si>
  <si>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</si>
  <si>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</si>
  <si>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</si>
  <si>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</si>
  <si>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</si>
  <si>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</si>
  <si>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</si>
  <si>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</si>
  <si>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</si>
  <si>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</si>
  <si>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</si>
  <si>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</si>
  <si>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</si>
  <si>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</si>
  <si>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</si>
  <si>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</si>
  <si>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</si>
  <si>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</si>
  <si>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</si>
  <si>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</si>
  <si>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</si>
  <si>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</si>
  <si>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</si>
  <si>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</si>
  <si>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</si>
  <si>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</si>
  <si>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</si>
  <si>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</si>
  <si>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</si>
  <si>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</si>
  <si>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</si>
  <si>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</si>
  <si>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</si>
  <si>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</si>
  <si>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</si>
  <si>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</si>
  <si>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</si>
  <si>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</si>
  <si>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</si>
  <si>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</si>
  <si>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</si>
  <si>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</si>
  <si>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</si>
  <si>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</si>
  <si>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</si>
  <si>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</si>
  <si>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</si>
  <si>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</si>
  <si>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</si>
  <si>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</si>
  <si>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</si>
  <si>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</si>
  <si>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</si>
  <si>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</si>
  <si>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</si>
  <si>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</si>
  <si>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</si>
  <si>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</si>
  <si>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</si>
  <si>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</si>
  <si>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</si>
  <si>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</si>
  <si>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</si>
  <si>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</si>
  <si>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</si>
  <si>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</si>
  <si>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</si>
  <si>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</si>
  <si>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</si>
  <si>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</si>
  <si>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</si>
  <si>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</si>
  <si>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</si>
  <si>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</si>
  <si>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</si>
  <si>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</si>
  <si>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</si>
  <si>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</si>
  <si>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</si>
  <si>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</si>
  <si>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</si>
  <si>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</si>
  <si>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</si>
  <si>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</si>
  <si>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</si>
  <si>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</si>
  <si>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</si>
  <si>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</si>
  <si>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</si>
  <si>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</si>
  <si>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</si>
  <si>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</si>
  <si>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</si>
  <si>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</si>
  <si>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</si>
  <si>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</si>
  <si>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</si>
  <si>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</si>
  <si>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</si>
  <si>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</si>
  <si>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</si>
  <si>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</si>
  <si>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</si>
  <si>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</si>
  <si>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</si>
  <si>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</si>
  <si>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</si>
  <si>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</si>
  <si>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</si>
  <si>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</si>
  <si>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</si>
  <si>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</si>
  <si>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</si>
  <si>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</si>
  <si>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</si>
  <si>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</si>
  <si>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</si>
  <si>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</si>
  <si>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</si>
  <si>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</si>
  <si>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</si>
  <si>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</si>
  <si>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</si>
  <si>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</si>
  <si>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</si>
  <si>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</si>
  <si>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</si>
  <si>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</si>
  <si>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</si>
  <si>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</si>
  <si>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</si>
  <si>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</si>
  <si>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</si>
  <si>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</si>
  <si>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</si>
  <si>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</si>
  <si>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</si>
  <si>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</si>
  <si>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</si>
  <si>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</si>
  <si>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</si>
  <si>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</si>
  <si>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</si>
  <si>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</si>
  <si>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</si>
  <si>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</si>
  <si>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</si>
  <si>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</si>
  <si>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</si>
  <si>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</si>
  <si>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</si>
  <si>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</si>
  <si>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</si>
  <si>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</si>
  <si>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</si>
  <si>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</si>
  <si>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</si>
  <si>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</si>
  <si>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</si>
  <si>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</si>
  <si>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</si>
  <si>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</si>
  <si>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</si>
  <si>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</si>
  <si>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</si>
  <si>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</si>
  <si>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</si>
  <si>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</si>
  <si>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</si>
  <si>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</si>
  <si>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</si>
  <si>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</si>
  <si>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</si>
  <si>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</si>
  <si>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</si>
  <si>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</si>
  <si>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</si>
  <si>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</si>
  <si>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</si>
  <si>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</si>
  <si>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</si>
  <si>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</si>
  <si>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</si>
  <si>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</si>
  <si>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</si>
  <si>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</si>
  <si>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</si>
  <si>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</si>
  <si>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</si>
  <si>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</si>
  <si>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</si>
  <si>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</si>
  <si>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</si>
  <si>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</si>
  <si>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</si>
  <si>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</si>
  <si>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</si>
  <si>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</si>
  <si>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</si>
  <si>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</si>
  <si>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</si>
  <si>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</si>
  <si>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</si>
  <si>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</si>
  <si>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</si>
  <si>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</si>
  <si>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</si>
  <si>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</si>
  <si>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</si>
  <si>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</si>
  <si>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</si>
  <si>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</si>
  <si>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</si>
  <si>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</si>
  <si>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</si>
  <si>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</si>
  <si>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</si>
  <si>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</si>
  <si>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</si>
  <si>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</si>
  <si>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</si>
  <si>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</si>
  <si>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</si>
  <si>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</si>
  <si>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</si>
  <si>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</si>
  <si>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</si>
  <si>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</si>
  <si>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</si>
  <si>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</si>
  <si>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</si>
  <si>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</si>
  <si>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</si>
  <si>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</si>
  <si>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</si>
  <si>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</si>
  <si>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</si>
  <si>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</si>
  <si>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</si>
  <si>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</si>
  <si>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</si>
  <si>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</si>
  <si>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</si>
  <si>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</si>
  <si>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</si>
  <si>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</si>
  <si>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</si>
  <si>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</si>
  <si>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</si>
  <si>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</si>
  <si>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</si>
  <si>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</si>
  <si>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</si>
  <si>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</si>
  <si>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</si>
  <si>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</si>
  <si>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</si>
  <si>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</si>
  <si>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</si>
  <si>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</si>
  <si>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</si>
  <si>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</si>
  <si>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</si>
  <si>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</si>
  <si>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</si>
  <si>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</si>
  <si>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</si>
  <si>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</si>
  <si>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</si>
  <si>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</si>
  <si>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</si>
  <si>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</si>
  <si>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</si>
  <si>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</si>
  <si>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</si>
  <si>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</si>
  <si>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</si>
  <si>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</si>
  <si>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</si>
  <si>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</si>
  <si>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</si>
  <si>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</si>
  <si>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</si>
  <si>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</si>
  <si>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</si>
  <si>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</si>
  <si>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</si>
  <si>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</si>
  <si>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</si>
  <si>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</si>
  <si>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</si>
  <si>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</si>
  <si>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</si>
  <si>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</si>
  <si>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</si>
  <si>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</si>
  <si>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</si>
  <si>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</si>
  <si>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</si>
  <si>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</si>
  <si>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</si>
  <si>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</si>
  <si>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</si>
  <si>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</si>
  <si>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</si>
  <si>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</si>
  <si>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</si>
  <si>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</si>
  <si>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</si>
  <si>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</si>
  <si>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</si>
  <si>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</si>
  <si>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</si>
  <si>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</si>
  <si>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</si>
  <si>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</si>
  <si>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</si>
  <si>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</si>
  <si>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</si>
  <si>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</si>
  <si>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</si>
  <si>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</si>
  <si>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</si>
  <si>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</si>
  <si>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</si>
  <si>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</si>
  <si>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</si>
  <si>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</si>
  <si>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</si>
  <si>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</si>
  <si>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</si>
  <si>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</si>
  <si>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</si>
  <si>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</si>
  <si>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</si>
  <si>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</si>
  <si>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</si>
  <si>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</si>
  <si>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</si>
  <si>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</si>
  <si>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</si>
  <si>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</si>
  <si>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</si>
  <si>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</si>
  <si>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</si>
  <si>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</si>
  <si>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</si>
  <si>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</si>
  <si>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</si>
  <si>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</si>
  <si>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</si>
  <si>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</si>
  <si>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</si>
  <si>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</si>
  <si>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</si>
  <si>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</si>
  <si>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</si>
  <si>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</si>
  <si>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</si>
  <si>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</si>
  <si>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</si>
  <si>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</si>
  <si>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</si>
  <si>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</si>
  <si>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</si>
  <si>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</si>
  <si>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</si>
  <si>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</si>
  <si>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</si>
  <si>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</si>
  <si>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</si>
  <si>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</si>
  <si>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</si>
  <si>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</si>
  <si>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</si>
  <si>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</si>
  <si>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</si>
  <si>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</si>
  <si>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</si>
  <si>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</si>
  <si>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</si>
  <si>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</si>
  <si>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</si>
  <si>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</si>
  <si>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</si>
  <si>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</si>
  <si>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</si>
  <si>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</si>
  <si>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</si>
  <si>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</si>
  <si>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</si>
  <si>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</si>
  <si>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</si>
  <si>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</si>
  <si>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</si>
  <si>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</si>
  <si>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</si>
  <si>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</si>
  <si>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</si>
  <si>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</si>
  <si>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</si>
  <si>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</si>
  <si>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</si>
  <si>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</si>
  <si>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</si>
  <si>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</si>
  <si>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</si>
  <si>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</si>
  <si>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</si>
  <si>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</si>
  <si>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</si>
  <si>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</si>
  <si>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</si>
  <si>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</si>
  <si>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</si>
  <si>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</si>
  <si>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</si>
  <si>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</si>
  <si>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</si>
  <si>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</si>
  <si>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</si>
  <si>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</si>
  <si>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</si>
  <si>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</si>
  <si>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</si>
  <si>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</si>
  <si>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</si>
  <si>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</si>
  <si>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</si>
  <si>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</si>
  <si>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</si>
  <si>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</si>
  <si>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</si>
  <si>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</si>
  <si>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</si>
  <si>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</si>
  <si>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</si>
  <si>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</si>
  <si>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</si>
  <si>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</si>
  <si>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</si>
  <si>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</si>
  <si>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</si>
  <si>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</si>
  <si>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</si>
  <si>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</si>
  <si>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</si>
  <si>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</si>
  <si>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</si>
  <si>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</si>
  <si>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</si>
  <si>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</si>
  <si>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</si>
  <si>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</si>
  <si>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</si>
  <si>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</si>
  <si>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</si>
  <si>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</si>
  <si>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</si>
  <si>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</si>
  <si>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</si>
  <si>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</si>
  <si>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</si>
  <si>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</si>
  <si>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</si>
  <si>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</si>
  <si>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</si>
  <si>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</si>
  <si>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</si>
  <si>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</si>
  <si>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</si>
  <si>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</si>
  <si>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</si>
  <si>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</si>
  <si>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</si>
  <si>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</si>
  <si>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</si>
  <si>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</si>
  <si>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</si>
  <si>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</si>
  <si>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</si>
  <si>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</si>
  <si>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</si>
  <si>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</si>
  <si>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</si>
  <si>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</si>
  <si>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</si>
  <si>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</si>
  <si>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</si>
  <si>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</si>
  <si>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</si>
  <si>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</si>
  <si>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</si>
  <si>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</si>
  <si>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</si>
  <si>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</si>
  <si>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</si>
  <si>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</si>
  <si>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</si>
  <si>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</si>
  <si>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</si>
  <si>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</si>
  <si>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</si>
  <si>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</si>
  <si>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</si>
  <si>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</si>
  <si>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</si>
  <si>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</si>
  <si>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</si>
  <si>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</si>
  <si>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</si>
  <si>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</si>
  <si>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</si>
  <si>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</si>
  <si>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</si>
  <si>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</si>
  <si>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</si>
  <si>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</si>
  <si>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</si>
  <si>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</si>
  <si>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</si>
  <si>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</si>
  <si>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</si>
  <si>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</si>
  <si>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</si>
  <si>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</si>
  <si>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</si>
  <si>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</si>
  <si>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</si>
  <si>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</si>
  <si>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</si>
  <si>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</si>
  <si>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</si>
  <si>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</si>
  <si>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</si>
  <si>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</si>
  <si>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</si>
  <si>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</si>
  <si>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</si>
  <si>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</si>
  <si>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</si>
  <si>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</si>
  <si>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</si>
  <si>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</si>
  <si>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</si>
  <si>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</si>
  <si>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</si>
  <si>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</si>
  <si>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</si>
  <si>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</si>
  <si>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</si>
  <si>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</si>
  <si>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</si>
  <si>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</si>
  <si>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</si>
  <si>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</si>
  <si>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</si>
  <si>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</si>
  <si>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</si>
  <si>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</si>
  <si>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</si>
  <si>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</si>
  <si>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</si>
  <si>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</si>
  <si>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</si>
  <si>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</si>
  <si>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</si>
  <si>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</si>
  <si>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</si>
  <si>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</si>
  <si>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</si>
  <si>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</si>
  <si>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</si>
  <si>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</si>
  <si>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</si>
  <si>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</si>
  <si>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</si>
  <si>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</si>
  <si>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</si>
  <si>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</si>
  <si>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</si>
  <si>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</si>
  <si>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</si>
  <si>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</si>
  <si>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</si>
  <si>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</si>
  <si>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</si>
  <si>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</si>
  <si>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</si>
  <si>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</si>
  <si>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</si>
  <si>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</si>
  <si>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</si>
  <si>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</si>
  <si>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</si>
  <si>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</si>
  <si>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</si>
  <si>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</si>
  <si>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</si>
  <si>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</si>
  <si>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</si>
  <si>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</si>
  <si>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</si>
  <si>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</si>
  <si>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</si>
  <si>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</si>
  <si>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</si>
  <si>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</si>
  <si>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</si>
  <si>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</si>
  <si>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</si>
  <si>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</si>
  <si>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</si>
  <si>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</si>
  <si>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</si>
  <si>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</si>
  <si>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</si>
  <si>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</si>
  <si>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</si>
  <si>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</si>
  <si>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</si>
  <si>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</si>
  <si>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</si>
  <si>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</si>
  <si>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</si>
  <si>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</si>
  <si>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</si>
  <si>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</si>
  <si>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</si>
  <si>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</si>
  <si>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</si>
  <si>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</si>
  <si>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</si>
  <si>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</si>
  <si>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</si>
  <si>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</si>
  <si>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</si>
  <si>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</si>
  <si>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</si>
  <si>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</si>
  <si>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</si>
  <si>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</si>
  <si>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</si>
  <si>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</si>
  <si>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</si>
  <si>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</si>
  <si>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</si>
  <si>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</si>
  <si>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</si>
  <si>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</si>
  <si>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</si>
  <si>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</si>
  <si>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</si>
  <si>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</si>
  <si>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</si>
  <si>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</si>
  <si>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</si>
  <si>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</si>
  <si>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</si>
  <si>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</si>
  <si>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</si>
  <si>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</si>
  <si>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</si>
  <si>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</si>
  <si>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</si>
  <si>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</si>
  <si>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</si>
  <si>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</si>
  <si>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</si>
  <si>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</si>
  <si>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</si>
  <si>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</si>
  <si>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</si>
  <si>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</si>
  <si>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</si>
  <si>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</si>
  <si>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</si>
  <si>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</si>
  <si>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</si>
  <si>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</si>
  <si>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</si>
  <si>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</si>
  <si>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</si>
  <si>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</si>
  <si>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</si>
  <si>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</si>
  <si>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</si>
  <si>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</si>
  <si>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</si>
  <si>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</si>
  <si>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</si>
  <si>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</si>
  <si>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</si>
  <si>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</si>
  <si>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</si>
  <si>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</si>
  <si>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</si>
  <si>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</si>
  <si>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</si>
  <si>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</si>
  <si>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</si>
  <si>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</si>
  <si>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</si>
  <si>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</si>
  <si>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</si>
  <si>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</si>
  <si>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</si>
  <si>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</si>
  <si>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</si>
  <si>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</si>
  <si>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</si>
  <si>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</si>
  <si>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</si>
  <si>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</si>
  <si>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</si>
  <si>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</si>
  <si>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</si>
  <si>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</si>
  <si>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</si>
  <si>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</si>
  <si>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</si>
  <si>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</si>
  <si>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</si>
  <si>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</si>
  <si>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</si>
  <si>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</si>
  <si>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</si>
  <si>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</si>
  <si>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</si>
  <si>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</si>
  <si>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</si>
  <si>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</si>
  <si>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</si>
  <si>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</si>
  <si>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</si>
  <si>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</si>
  <si>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</si>
  <si>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</si>
  <si>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</si>
  <si>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</si>
  <si>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</si>
  <si>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</si>
  <si>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</si>
  <si>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</si>
  <si>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</si>
  <si>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</si>
  <si>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</si>
  <si>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</si>
  <si>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</si>
  <si>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</si>
  <si>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</si>
  <si>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</si>
  <si>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</si>
  <si>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</si>
  <si>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</si>
  <si>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</si>
  <si>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</si>
  <si>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</si>
  <si>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</si>
  <si>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</si>
  <si>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</si>
  <si>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</si>
  <si>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</si>
  <si>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</si>
  <si>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</si>
  <si>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</si>
  <si>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</si>
  <si>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</si>
  <si>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</si>
  <si>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</si>
  <si>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</si>
  <si>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</si>
  <si>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</si>
  <si>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</si>
  <si>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</si>
  <si>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</si>
  <si>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</si>
  <si>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</si>
  <si>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</si>
  <si>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</si>
  <si>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</si>
  <si>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</si>
  <si>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</si>
  <si>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</si>
  <si>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</si>
  <si>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</si>
  <si>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</si>
  <si>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</si>
  <si>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</si>
  <si>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</si>
  <si>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</si>
  <si>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</si>
  <si>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</si>
  <si>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</si>
  <si>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</si>
  <si>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</si>
  <si>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</si>
  <si>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</si>
  <si>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</si>
  <si>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</si>
  <si>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</si>
  <si>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</si>
  <si>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</si>
  <si>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</si>
  <si>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</si>
  <si>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</si>
  <si>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</si>
  <si>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</si>
  <si>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</si>
  <si>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</si>
  <si>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</si>
  <si>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</si>
  <si>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</si>
  <si>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</si>
  <si>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</si>
  <si>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</si>
  <si>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</si>
  <si>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</si>
  <si>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</si>
  <si>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</si>
  <si>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</si>
  <si>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</si>
  <si>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</si>
  <si>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</si>
  <si>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</si>
  <si>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</si>
  <si>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</si>
  <si>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</si>
  <si>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</si>
  <si>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</si>
  <si>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</si>
  <si>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</si>
  <si>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</si>
  <si>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</si>
  <si>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</si>
  <si>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</si>
  <si>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</si>
  <si>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</si>
  <si>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</si>
  <si>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</si>
  <si>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</si>
  <si>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</si>
  <si>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</si>
  <si>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</si>
  <si>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</si>
  <si>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</si>
  <si>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</si>
  <si>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</si>
  <si>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</si>
  <si>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</si>
  <si>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</si>
  <si>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</si>
  <si>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</si>
  <si>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</si>
  <si>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</si>
  <si>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</si>
  <si>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</si>
  <si>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</si>
  <si>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</si>
  <si>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</si>
  <si>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</si>
  <si>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</si>
  <si>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</si>
  <si>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</si>
  <si>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</si>
  <si>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</si>
  <si>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</si>
  <si>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</si>
  <si>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</si>
  <si>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</si>
  <si>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</si>
  <si>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</si>
  <si>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</si>
  <si>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</si>
  <si>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</si>
  <si>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</si>
  <si>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</si>
  <si>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</si>
  <si>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</si>
  <si>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</si>
  <si>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</si>
  <si>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</si>
  <si>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</si>
  <si>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</si>
  <si>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</si>
  <si>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</si>
  <si>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</si>
  <si>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</si>
  <si>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</si>
  <si>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</si>
  <si>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</si>
  <si>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</si>
  <si>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</si>
  <si>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</si>
  <si>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</si>
  <si>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</si>
  <si>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</si>
  <si>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</si>
  <si>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</si>
  <si>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</si>
  <si>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</si>
  <si>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</si>
  <si>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</si>
  <si>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</si>
  <si>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</si>
  <si>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</si>
  <si>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</si>
  <si>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</si>
  <si>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</si>
  <si>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</si>
  <si>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</si>
  <si>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</si>
  <si>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</si>
  <si>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</si>
  <si>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</si>
  <si>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</si>
  <si>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</si>
  <si>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</si>
  <si>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</si>
  <si>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</si>
  <si>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</si>
  <si>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</si>
  <si>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</si>
  <si>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</si>
  <si>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</si>
  <si>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</si>
  <si>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</si>
  <si>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</si>
  <si>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</si>
  <si>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</si>
  <si>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</si>
  <si>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</si>
  <si>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</si>
  <si>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</si>
  <si>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</si>
  <si>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</si>
  <si>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</si>
  <si>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</si>
  <si>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</si>
  <si>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</si>
  <si>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</si>
  <si>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</si>
  <si>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</si>
  <si>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</si>
  <si>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</si>
  <si>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</si>
  <si>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</si>
  <si>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</si>
  <si>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</si>
  <si>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</si>
  <si>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</si>
  <si>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</si>
  <si>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</si>
  <si>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</si>
  <si>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</si>
  <si>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</si>
  <si>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</si>
  <si>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</si>
  <si>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</si>
  <si>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</si>
  <si>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</si>
  <si>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</si>
  <si>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</si>
  <si>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</si>
  <si>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</si>
  <si>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</si>
  <si>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</si>
  <si>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</si>
  <si>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</si>
  <si>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</si>
  <si>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</si>
  <si>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</si>
  <si>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</si>
  <si>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</si>
  <si>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</si>
  <si>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</si>
  <si>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</si>
  <si>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</si>
  <si>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</si>
  <si>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</si>
  <si>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</si>
  <si>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</si>
  <si>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</si>
  <si>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</si>
  <si>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</si>
  <si>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</si>
  <si>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</si>
  <si>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</si>
  <si>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</si>
  <si>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</si>
  <si>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</si>
  <si>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</si>
  <si>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</si>
  <si>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</si>
  <si>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</si>
  <si>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</si>
  <si>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</si>
  <si>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</si>
  <si>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</si>
  <si>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</si>
  <si>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</si>
  <si>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</si>
  <si>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</si>
  <si>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</si>
  <si>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</si>
  <si>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</si>
  <si>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</si>
  <si>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</si>
  <si>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</si>
  <si>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</si>
  <si>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</si>
  <si>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</si>
  <si>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</si>
  <si>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</si>
  <si>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</si>
  <si>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</si>
  <si>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</si>
  <si>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</si>
  <si>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</si>
  <si>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</si>
  <si>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</si>
  <si>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</si>
  <si>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</si>
  <si>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</si>
  <si>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</si>
  <si>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</si>
  <si>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</si>
  <si>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</si>
  <si>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</si>
  <si>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</si>
  <si>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</si>
  <si>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</si>
  <si>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</si>
  <si>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</si>
  <si>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</si>
  <si>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</si>
  <si>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</si>
  <si>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</si>
  <si>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</si>
  <si>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</si>
  <si>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</si>
  <si>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</si>
  <si>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</si>
  <si>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</si>
  <si>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</si>
  <si>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</si>
  <si>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</si>
  <si>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</si>
  <si>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</si>
  <si>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</si>
  <si>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</si>
  <si>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</si>
  <si>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</si>
  <si>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</si>
  <si>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</si>
  <si>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</si>
  <si>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</si>
  <si>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</si>
  <si>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</si>
  <si>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</si>
  <si>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</si>
  <si>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</si>
  <si>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</si>
  <si>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</si>
  <si>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</si>
  <si>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</si>
  <si>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</si>
  <si>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</si>
  <si>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</si>
  <si>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</si>
  <si>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</si>
  <si>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</si>
  <si>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</si>
  <si>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</si>
  <si>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</si>
  <si>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</si>
  <si>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</si>
  <si>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</si>
  <si>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</si>
  <si>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</si>
  <si>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</si>
  <si>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</si>
  <si>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</si>
  <si>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</si>
  <si>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</si>
  <si>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</si>
  <si>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</si>
  <si>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</si>
  <si>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</si>
  <si>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</si>
  <si>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</si>
  <si>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</si>
  <si>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</si>
  <si>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</si>
  <si>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</si>
  <si>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</si>
  <si>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</si>
  <si>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</si>
  <si>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</si>
  <si>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</si>
  <si>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</si>
  <si>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</si>
  <si>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</si>
  <si>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</si>
  <si>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</si>
  <si>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</si>
  <si>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</si>
  <si>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</si>
  <si>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</si>
  <si>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</si>
  <si>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</si>
  <si>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</si>
  <si>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</si>
  <si>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</si>
  <si>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</si>
  <si>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</si>
  <si>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</si>
  <si>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</si>
  <si>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</si>
  <si>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</si>
  <si>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</si>
  <si>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</si>
  <si>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</si>
  <si>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</si>
  <si>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</si>
  <si>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</si>
  <si>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</si>
  <si>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</si>
  <si>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</si>
  <si>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</si>
  <si>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</si>
  <si>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</si>
  <si>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</si>
  <si>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</si>
  <si>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</si>
  <si>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</si>
  <si>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</si>
  <si>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</si>
  <si>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</si>
  <si>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</si>
  <si>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</si>
  <si>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</si>
  <si>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</si>
  <si>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</si>
  <si>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</si>
  <si>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</si>
  <si>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</si>
  <si>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</si>
  <si>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</si>
  <si>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</si>
  <si>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</si>
  <si>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</si>
  <si>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</si>
  <si>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</si>
  <si>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</si>
  <si>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</si>
  <si>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</si>
  <si>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</si>
  <si>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</si>
  <si>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</si>
  <si>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</si>
  <si>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</si>
  <si>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</si>
  <si>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</si>
  <si>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</si>
  <si>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</si>
  <si>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</si>
  <si>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</si>
  <si>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</si>
  <si>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</si>
  <si>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</si>
  <si>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</si>
  <si>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</si>
  <si>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</si>
  <si>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</si>
  <si>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</si>
  <si>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</si>
  <si>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</si>
  <si>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</si>
  <si>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</si>
  <si>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</si>
  <si>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</si>
  <si>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</si>
  <si>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</si>
  <si>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</si>
  <si>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</si>
  <si>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</si>
  <si>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</si>
  <si>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</si>
  <si>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</si>
  <si>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</si>
  <si>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</si>
  <si>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</si>
  <si>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</si>
  <si>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</si>
  <si>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</si>
  <si>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</si>
  <si>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</si>
  <si>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</si>
  <si>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</si>
  <si>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</si>
  <si>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</si>
  <si>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</si>
  <si>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</si>
  <si>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</si>
  <si>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</si>
  <si>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</si>
  <si>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</si>
  <si>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</si>
  <si>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</si>
  <si>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</si>
  <si>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</si>
  <si>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</si>
  <si>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</si>
  <si>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</si>
  <si>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</si>
  <si>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</si>
  <si>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</si>
  <si>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</si>
  <si>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</si>
  <si>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</si>
  <si>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</si>
  <si>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</si>
  <si>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</si>
  <si>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</si>
  <si>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</si>
  <si>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</si>
  <si>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</si>
  <si>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</si>
  <si>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</si>
  <si>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</si>
  <si>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</si>
  <si>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</si>
  <si>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</si>
  <si>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</si>
  <si>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</si>
  <si>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</si>
  <si>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</si>
  <si>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</si>
  <si>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</si>
  <si>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</si>
  <si>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</si>
  <si>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</si>
  <si>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</si>
  <si>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</si>
  <si>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</si>
  <si>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</si>
  <si>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</si>
  <si>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</si>
  <si>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</si>
  <si>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</si>
  <si>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</si>
  <si>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</si>
  <si>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</si>
  <si>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</si>
  <si>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</si>
  <si>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</si>
  <si>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</si>
  <si>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</si>
  <si>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</si>
  <si>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</si>
  <si>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</si>
  <si>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</si>
  <si>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</si>
  <si>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</si>
  <si>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</si>
  <si>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</si>
  <si>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</si>
  <si>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</si>
  <si>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</si>
  <si>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</si>
  <si>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</si>
  <si>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</si>
  <si>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</si>
  <si>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</si>
  <si>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</si>
  <si>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</si>
  <si>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</si>
  <si>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</si>
  <si>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</si>
  <si>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</si>
  <si>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</si>
  <si>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</si>
  <si>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</si>
  <si>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</si>
  <si>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</si>
  <si>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</si>
  <si>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</si>
  <si>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</si>
  <si>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</si>
  <si>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</si>
  <si>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</si>
  <si>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</si>
  <si>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</si>
  <si>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</si>
  <si>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</si>
  <si>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</si>
  <si>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</si>
  <si>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</si>
  <si>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</si>
  <si>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</si>
  <si>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</si>
  <si>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</si>
  <si>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</si>
  <si>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</si>
  <si>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</si>
  <si>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</si>
  <si>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</si>
  <si>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</si>
  <si>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</si>
  <si>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</si>
  <si>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</si>
  <si>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</si>
  <si>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</si>
  <si>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</si>
  <si>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</si>
  <si>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</si>
  <si>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</si>
  <si>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</si>
  <si>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</si>
  <si>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</si>
  <si>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</si>
  <si>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</si>
  <si>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</si>
  <si>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</si>
  <si>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</si>
  <si>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</si>
  <si>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</si>
  <si>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</si>
  <si>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</si>
  <si>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</si>
  <si>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</si>
  <si>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</si>
  <si>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</si>
  <si>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</si>
  <si>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</si>
  <si>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</si>
  <si>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</si>
  <si>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</si>
  <si>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</si>
  <si>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</si>
  <si>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</si>
  <si>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</si>
  <si>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</si>
  <si>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</si>
  <si>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</si>
  <si>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</si>
  <si>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</si>
  <si>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</si>
  <si>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</si>
  <si>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</si>
  <si>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</si>
  <si>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</si>
  <si>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</si>
  <si>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</si>
  <si>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</si>
  <si>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</si>
  <si>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</si>
  <si>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</si>
  <si>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</si>
  <si>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</si>
  <si>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</si>
  <si>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</si>
  <si>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</si>
  <si>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</si>
  <si>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</si>
  <si>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</si>
  <si>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</si>
  <si>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</si>
  <si>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</si>
  <si>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</si>
  <si>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</si>
  <si>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</si>
  <si>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</si>
  <si>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</si>
  <si>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</si>
  <si>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</si>
  <si>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</si>
  <si>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</si>
  <si>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</si>
  <si>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</si>
  <si>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</si>
  <si>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</si>
  <si>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</si>
  <si>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</si>
  <si>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</si>
  <si>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</si>
  <si>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</si>
  <si>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</si>
  <si>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</si>
  <si>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</si>
  <si>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</si>
  <si>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</si>
  <si>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</si>
  <si>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</si>
  <si>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</si>
  <si>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</si>
  <si>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</si>
  <si>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</si>
  <si>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</si>
  <si>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</si>
  <si>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</si>
  <si>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</si>
  <si>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</si>
  <si>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</si>
  <si>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</si>
  <si>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</si>
  <si>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</si>
  <si>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</si>
  <si>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</si>
  <si>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</si>
  <si>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</si>
  <si>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</si>
  <si>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</si>
  <si>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</si>
  <si>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</si>
  <si>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</si>
  <si>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</si>
  <si>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</si>
  <si>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</si>
  <si>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</si>
  <si>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</si>
  <si>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</si>
  <si>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</si>
  <si>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</si>
  <si>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</si>
  <si>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</si>
  <si>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</si>
  <si>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</si>
  <si>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</si>
  <si>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</si>
  <si>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</si>
  <si>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</si>
  <si>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</si>
  <si>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</si>
  <si>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</si>
  <si>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</si>
  <si>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</si>
  <si>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</si>
  <si>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</si>
  <si>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</si>
  <si>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</si>
  <si>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</si>
  <si>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</si>
  <si>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</si>
  <si>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</si>
  <si>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</si>
  <si>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</si>
  <si>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</si>
  <si>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</si>
  <si>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</si>
  <si>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</si>
  <si>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</si>
  <si>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</si>
  <si>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</si>
  <si>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</si>
  <si>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</si>
  <si>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</si>
  <si>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</si>
  <si>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</si>
  <si>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</si>
  <si>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</si>
  <si>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</si>
  <si>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</si>
  <si>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</si>
  <si>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</si>
  <si>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</si>
  <si>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</si>
  <si>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</si>
  <si>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</si>
  <si>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</si>
  <si>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</si>
  <si>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</si>
  <si>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</si>
  <si>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</si>
  <si>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</si>
  <si>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</si>
  <si>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</si>
  <si>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</si>
  <si>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</si>
  <si>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</si>
  <si>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</si>
  <si>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</si>
  <si>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</si>
  <si>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</si>
  <si>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</si>
  <si>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</si>
  <si>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</si>
  <si>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</si>
  <si>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</si>
  <si>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</si>
  <si>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</si>
  <si>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</si>
  <si>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</si>
  <si>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</si>
  <si>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</si>
  <si>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</si>
  <si>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</si>
  <si>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</si>
  <si>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</si>
  <si>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</si>
  <si>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</si>
  <si>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</si>
  <si>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</si>
  <si>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</si>
  <si>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</si>
  <si>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</si>
  <si>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</si>
  <si>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</si>
  <si>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</si>
  <si>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</si>
  <si>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</si>
  <si>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</si>
  <si>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</si>
  <si>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</si>
  <si>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</si>
  <si>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</si>
  <si>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</si>
  <si>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</si>
  <si>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</si>
  <si>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</si>
  <si>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</si>
  <si>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</si>
  <si>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</si>
  <si>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</si>
  <si>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</si>
  <si>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</si>
  <si>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</si>
  <si>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</si>
  <si>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</si>
  <si>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</si>
  <si>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</si>
  <si>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</si>
  <si>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</si>
  <si>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</si>
  <si>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</si>
  <si>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</si>
  <si>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</si>
  <si>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</si>
  <si>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</si>
  <si>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</si>
  <si>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</si>
  <si>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</si>
  <si>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</si>
  <si>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</si>
  <si>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</si>
  <si>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</si>
  <si>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</si>
  <si>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</si>
  <si>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</si>
  <si>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</si>
  <si>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</si>
  <si>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</si>
  <si>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</si>
  <si>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</si>
  <si>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</si>
  <si>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</si>
  <si>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</si>
  <si>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</si>
  <si>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</si>
  <si>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</si>
  <si>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</si>
  <si>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</si>
  <si>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</si>
  <si>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</si>
  <si>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</si>
  <si>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</si>
  <si>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</si>
  <si>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</si>
  <si>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</si>
  <si>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</si>
  <si>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</si>
  <si>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</si>
  <si>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</si>
  <si>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</si>
  <si>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</si>
  <si>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</si>
  <si>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</si>
  <si>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</si>
  <si>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</si>
  <si>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</si>
  <si>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</si>
  <si>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</si>
  <si>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</si>
  <si>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</si>
  <si>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</si>
  <si>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</si>
  <si>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</si>
  <si>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</si>
  <si>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</si>
  <si>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</si>
  <si>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</si>
  <si>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</si>
  <si>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</si>
  <si>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</si>
  <si>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</si>
  <si>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</si>
  <si>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</si>
  <si>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</si>
  <si>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</si>
  <si>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</si>
  <si>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</si>
  <si>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</si>
  <si>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</si>
  <si>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</si>
  <si>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</si>
  <si>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</si>
  <si>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</si>
  <si>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</si>
  <si>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</si>
  <si>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</si>
  <si>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</si>
  <si>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</si>
  <si>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</si>
  <si>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</si>
  <si>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</si>
  <si>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</si>
  <si>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</si>
  <si>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</si>
  <si>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</si>
  <si>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</si>
  <si>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</si>
  <si>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</si>
  <si>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</si>
  <si>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</si>
  <si>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</si>
  <si>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</si>
  <si>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</si>
  <si>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</si>
  <si>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</si>
  <si>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</si>
  <si>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</si>
  <si>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</si>
  <si>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</si>
  <si>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</si>
  <si>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</si>
  <si>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</si>
  <si>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</si>
  <si>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</si>
  <si>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</si>
  <si>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</si>
  <si>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</si>
  <si>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</si>
  <si>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</si>
  <si>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</si>
  <si>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</si>
  <si>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</si>
  <si>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</si>
  <si>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</si>
  <si>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</si>
  <si>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</si>
  <si>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</si>
  <si>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</si>
  <si>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</si>
  <si>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</si>
  <si>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</si>
  <si>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</si>
  <si>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</si>
  <si>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</si>
  <si>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</si>
  <si>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</si>
  <si>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</si>
  <si>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</si>
  <si>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</si>
  <si>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</si>
  <si>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</si>
  <si>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</si>
  <si>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</si>
  <si>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</si>
  <si>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</si>
  <si>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</si>
  <si>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</si>
  <si>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</si>
  <si>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</si>
  <si>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</si>
  <si>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</si>
  <si>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</si>
  <si>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</si>
  <si>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</si>
  <si>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</si>
  <si>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</si>
  <si>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</si>
  <si>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</si>
  <si>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</si>
  <si>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</si>
  <si>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</si>
  <si>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</si>
  <si>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</si>
  <si>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</si>
  <si>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</si>
  <si>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</si>
  <si>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</si>
  <si>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</si>
  <si>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</si>
  <si>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</si>
  <si>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</si>
  <si>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</si>
  <si>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</si>
  <si>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</si>
  <si>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</si>
  <si>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</si>
  <si>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</si>
  <si>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</si>
  <si>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</si>
  <si>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</si>
  <si>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</si>
  <si>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</si>
  <si>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</si>
  <si>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</si>
  <si>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</si>
  <si>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</si>
  <si>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</si>
  <si>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</si>
  <si>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</si>
  <si>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</si>
  <si>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</si>
  <si>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</si>
  <si>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</si>
  <si>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</si>
  <si>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</si>
  <si>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</si>
  <si>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</si>
  <si>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</si>
  <si>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</si>
  <si>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</si>
  <si>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</si>
  <si>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</si>
  <si>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</si>
  <si>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</si>
  <si>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</si>
  <si>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</si>
  <si>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</si>
  <si>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</si>
  <si>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</si>
  <si>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</si>
  <si>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</si>
  <si>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</si>
  <si>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</si>
  <si>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</si>
  <si>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</si>
  <si>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</si>
  <si>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</si>
  <si>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</si>
  <si>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</si>
  <si>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</si>
  <si>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</si>
  <si>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</si>
  <si>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</si>
  <si>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</si>
  <si>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</si>
  <si>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</si>
  <si>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</si>
  <si>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</si>
  <si>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</si>
  <si>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</si>
  <si>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</si>
  <si>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</si>
  <si>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</si>
  <si>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</si>
  <si>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</si>
  <si>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</si>
  <si>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</si>
  <si>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</si>
  <si>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</si>
  <si>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</si>
  <si>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</si>
  <si>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</si>
  <si>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</si>
  <si>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</si>
  <si>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</si>
  <si>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</si>
  <si>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</si>
  <si>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</si>
  <si>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</si>
  <si>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</si>
  <si>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</si>
  <si>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</si>
  <si>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</si>
  <si>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</si>
  <si>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</si>
  <si>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</si>
  <si>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</si>
  <si>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</si>
  <si>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</si>
  <si>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</si>
  <si>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</si>
  <si>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</si>
  <si>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</si>
  <si>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</si>
  <si>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</si>
  <si>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</si>
  <si>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</si>
  <si>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</si>
  <si>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</si>
  <si>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</si>
  <si>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</si>
  <si>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</si>
  <si>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</si>
  <si>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</si>
  <si>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</si>
  <si>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</si>
  <si>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</si>
  <si>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</si>
  <si>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</si>
  <si>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</si>
  <si>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</si>
  <si>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</si>
  <si>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</si>
  <si>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</si>
  <si>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</si>
  <si>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</si>
  <si>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</si>
  <si>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</si>
  <si>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</si>
  <si>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</si>
  <si>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</si>
  <si>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</si>
  <si>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</si>
  <si>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</si>
  <si>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</si>
  <si>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</si>
  <si>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</si>
  <si>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</si>
  <si>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</si>
  <si>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</si>
  <si>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</si>
  <si>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</si>
  <si>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</si>
  <si>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</si>
  <si>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</si>
  <si>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</si>
  <si>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</si>
  <si>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</si>
  <si>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</si>
  <si>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</si>
  <si>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</si>
  <si>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</si>
  <si>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</si>
  <si>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</si>
  <si>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</si>
  <si>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</si>
  <si>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</si>
  <si>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</si>
  <si>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</si>
  <si>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</si>
  <si>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</si>
  <si>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</si>
  <si>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</si>
  <si>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</si>
  <si>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</si>
  <si>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</si>
  <si>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</si>
  <si>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</si>
  <si>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</si>
  <si>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</si>
  <si>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</si>
  <si>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</si>
  <si>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</si>
  <si>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</si>
  <si>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</si>
  <si>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</si>
  <si>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</si>
  <si>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</si>
  <si>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</si>
  <si>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</si>
  <si>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</si>
  <si>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</si>
  <si>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</si>
  <si>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</si>
  <si>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</si>
  <si>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</si>
  <si>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</si>
  <si>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</si>
  <si>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</si>
  <si>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</si>
  <si>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</si>
  <si>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</si>
  <si>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</si>
  <si>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</si>
  <si>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</si>
  <si>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</si>
  <si>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</si>
  <si>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</si>
  <si>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</si>
  <si>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</si>
  <si>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</si>
  <si>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</si>
  <si>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</si>
  <si>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</si>
  <si>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</si>
  <si>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</si>
  <si>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</si>
  <si>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</si>
  <si>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</si>
  <si>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</si>
  <si>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</si>
  <si>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</si>
  <si>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</si>
  <si>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</si>
  <si>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</si>
  <si>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</si>
  <si>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</si>
  <si>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</si>
  <si>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</si>
  <si>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</si>
  <si>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</si>
  <si>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</si>
  <si>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</si>
  <si>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</si>
  <si>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</si>
  <si>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</si>
  <si>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</si>
  <si>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</si>
  <si>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</si>
  <si>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</si>
  <si>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</si>
  <si>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</si>
  <si>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</si>
  <si>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</si>
  <si>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</si>
  <si>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</si>
  <si>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</si>
  <si>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</si>
  <si>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</si>
  <si>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</si>
  <si>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</si>
  <si>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</si>
  <si>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</si>
  <si>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</si>
  <si>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</si>
  <si>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</si>
  <si>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</si>
  <si>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</si>
  <si>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</si>
  <si>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</si>
  <si>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</si>
  <si>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</si>
  <si>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</si>
  <si>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</si>
  <si>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</si>
  <si>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</si>
  <si>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</si>
  <si>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</si>
  <si>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</si>
  <si>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</si>
  <si>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</si>
  <si>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</si>
  <si>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</si>
  <si>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</si>
  <si>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</si>
  <si>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</si>
  <si>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</si>
  <si>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</si>
  <si>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</si>
  <si>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</si>
  <si>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</si>
  <si>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</si>
  <si>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</si>
  <si>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</si>
  <si>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</si>
  <si>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</si>
  <si>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</si>
  <si>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</si>
  <si>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</si>
  <si>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</si>
  <si>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</si>
  <si>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</si>
  <si>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</si>
  <si>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</si>
  <si>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</si>
  <si>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</si>
  <si>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</si>
  <si>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</si>
  <si>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</si>
  <si>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</si>
  <si>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</si>
  <si>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</si>
  <si>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</si>
  <si>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</si>
  <si>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</si>
  <si>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</si>
  <si>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</si>
  <si>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</si>
  <si>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</si>
  <si>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</si>
  <si>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</si>
  <si>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</si>
  <si>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</si>
  <si>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</si>
  <si>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</si>
  <si>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</si>
  <si>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</si>
  <si>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</si>
  <si>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</si>
  <si>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</si>
  <si>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</si>
  <si>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</si>
  <si>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</si>
  <si>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</si>
  <si>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</si>
  <si>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</si>
  <si>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</si>
  <si>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</si>
  <si>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</si>
  <si>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</si>
  <si>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</si>
  <si>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</si>
  <si>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</si>
  <si>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</si>
  <si>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</si>
  <si>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</si>
  <si>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</si>
  <si>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</si>
  <si>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</si>
  <si>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</si>
  <si>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</si>
  <si>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</si>
  <si>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</si>
  <si>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</si>
  <si>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</si>
  <si>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</si>
  <si>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</si>
  <si>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</si>
  <si>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</si>
  <si>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</si>
  <si>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</si>
  <si>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</si>
  <si>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</si>
  <si>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</si>
  <si>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</si>
  <si>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</si>
  <si>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</si>
  <si>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</si>
  <si>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</si>
  <si>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</si>
  <si>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</si>
  <si>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</si>
  <si>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</si>
  <si>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</si>
  <si>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</si>
  <si>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</si>
  <si>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</si>
  <si>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</si>
  <si>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</si>
  <si>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</si>
  <si>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</si>
  <si>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</si>
  <si>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</si>
  <si>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</si>
  <si>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</si>
  <si>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</si>
  <si>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</si>
  <si>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</si>
  <si>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</si>
  <si>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</si>
  <si>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</si>
  <si>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</si>
  <si>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</si>
  <si>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</si>
  <si>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</si>
  <si>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</si>
  <si>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</si>
  <si>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</si>
  <si>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</si>
  <si>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</si>
  <si>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</si>
  <si>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</si>
  <si>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</si>
  <si>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</si>
  <si>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</si>
  <si>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</si>
  <si>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</si>
  <si>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</si>
  <si>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</si>
  <si>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</si>
  <si>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</si>
  <si>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</si>
  <si>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</si>
  <si>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</si>
  <si>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</si>
  <si>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</si>
  <si>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</si>
  <si>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</si>
  <si>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</si>
  <si>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</si>
  <si>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</si>
  <si>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</si>
  <si>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</si>
  <si>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</si>
  <si>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</si>
  <si>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</si>
  <si>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</si>
  <si>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</si>
  <si>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</si>
  <si>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</si>
  <si>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</si>
  <si>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</si>
  <si>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</si>
  <si>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</si>
  <si>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</si>
  <si>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</si>
  <si>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</si>
  <si>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</si>
  <si>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</si>
  <si>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</si>
  <si>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</si>
  <si>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</si>
  <si>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</si>
  <si>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</si>
  <si>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</si>
  <si>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</si>
  <si>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</si>
  <si>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</si>
  <si>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</si>
  <si>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</si>
  <si>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</si>
  <si>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</si>
  <si>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</si>
  <si>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</si>
  <si>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</si>
  <si>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</si>
  <si>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</si>
  <si>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</si>
  <si>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</si>
  <si>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</si>
  <si>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</si>
  <si>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</si>
  <si>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</si>
  <si>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</si>
  <si>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</si>
  <si>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</si>
  <si>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</si>
  <si>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</si>
  <si>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</si>
  <si>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</si>
  <si>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</si>
  <si>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</si>
  <si>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</si>
  <si>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</si>
  <si>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</si>
  <si>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</si>
  <si>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</si>
  <si>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</si>
  <si>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</si>
  <si>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</si>
  <si>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</si>
  <si>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</si>
  <si>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</si>
  <si>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</si>
  <si>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</si>
  <si>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</si>
  <si>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</si>
  <si>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</si>
  <si>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</si>
  <si>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</si>
  <si>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</si>
  <si>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</si>
  <si>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</si>
  <si>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</si>
  <si>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</si>
  <si>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</si>
  <si>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</si>
  <si>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</si>
  <si>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</si>
  <si>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</si>
  <si>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</si>
  <si>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</si>
  <si>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</si>
  <si>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</si>
  <si>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</si>
  <si>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</si>
  <si>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</si>
  <si>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</si>
  <si>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</si>
  <si>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</si>
  <si>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</si>
  <si>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</si>
  <si>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</si>
  <si>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</si>
  <si>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</si>
  <si>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</si>
  <si>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</si>
  <si>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</si>
  <si>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</si>
  <si>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</si>
  <si>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</si>
  <si>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</si>
  <si>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</si>
  <si>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</si>
  <si>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</si>
  <si>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</si>
  <si>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</si>
  <si>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</si>
  <si>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</si>
  <si>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</si>
  <si>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</si>
  <si>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</si>
  <si>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</si>
  <si>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</si>
  <si>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</si>
  <si>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</si>
  <si>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</si>
  <si>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</si>
  <si>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</si>
  <si>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</si>
  <si>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</si>
  <si>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</si>
  <si>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</si>
  <si>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</si>
  <si>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</si>
  <si>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</si>
  <si>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</si>
  <si>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</si>
  <si>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</si>
  <si>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</si>
  <si>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</si>
  <si>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</si>
  <si>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</si>
  <si>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</si>
  <si>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</si>
  <si>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</si>
  <si>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</si>
  <si>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</si>
  <si>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</si>
  <si>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</si>
  <si>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</si>
  <si>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</si>
  <si>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</si>
  <si>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</si>
  <si>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</si>
  <si>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</si>
  <si>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</si>
  <si>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</si>
  <si>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</si>
  <si>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</si>
  <si>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</si>
  <si>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</si>
  <si>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</si>
  <si>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</si>
  <si>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</si>
  <si>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</si>
  <si>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</si>
  <si>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</si>
  <si>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</si>
  <si>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</si>
  <si>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</si>
  <si>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</si>
  <si>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</si>
  <si>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</si>
  <si>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</si>
  <si>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</si>
  <si>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</si>
  <si>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</si>
  <si>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</si>
  <si>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</si>
  <si>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</si>
  <si>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</si>
  <si>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</si>
  <si>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</si>
  <si>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</si>
  <si>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</si>
  <si>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</si>
  <si>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</si>
  <si>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</si>
  <si>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</si>
  <si>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</si>
  <si>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</si>
  <si>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</si>
  <si>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</si>
  <si>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</si>
  <si>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</si>
  <si>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</si>
  <si>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</si>
  <si>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</si>
  <si>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</si>
  <si>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</si>
  <si>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</si>
  <si>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</si>
  <si>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</si>
  <si>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</si>
  <si>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</si>
  <si>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</si>
  <si>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</si>
  <si>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</si>
  <si>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</si>
  <si>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</si>
  <si>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</si>
  <si>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</si>
  <si>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</si>
  <si>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</si>
  <si>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</si>
  <si>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</si>
  <si>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</si>
  <si>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</si>
  <si>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</si>
  <si>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</si>
  <si>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</si>
  <si>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</si>
  <si>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</si>
  <si>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</si>
  <si>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</si>
  <si>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</si>
  <si>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</si>
  <si>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</si>
  <si>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</si>
  <si>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</si>
  <si>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</si>
  <si>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</si>
  <si>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</si>
  <si>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</si>
  <si>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</si>
  <si>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</si>
  <si>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</si>
  <si>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</si>
  <si>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</si>
  <si>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</si>
  <si>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</si>
  <si>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</si>
  <si>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</si>
  <si>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</si>
  <si>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</si>
  <si>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</si>
  <si>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</si>
  <si>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</si>
  <si>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</si>
  <si>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</si>
  <si>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</si>
  <si>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</si>
  <si>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</si>
  <si>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</si>
  <si>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</si>
  <si>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</si>
  <si>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</si>
  <si>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</si>
  <si>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</si>
  <si>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</si>
  <si>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</si>
  <si>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</si>
  <si>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</si>
  <si>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</si>
  <si>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</si>
  <si>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</si>
  <si>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</si>
  <si>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</si>
  <si>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</si>
  <si>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</si>
  <si>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</si>
  <si>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</si>
  <si>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</si>
  <si>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</si>
  <si>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</si>
  <si>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</si>
  <si>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</si>
  <si>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</si>
  <si>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</si>
  <si>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</si>
  <si>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</si>
  <si>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</si>
  <si>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</si>
  <si>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</si>
  <si>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</si>
  <si>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</si>
  <si>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</si>
  <si>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</si>
  <si>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</si>
  <si>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</si>
  <si>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</si>
  <si>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</si>
  <si>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</si>
  <si>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</si>
  <si>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</si>
  <si>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</si>
  <si>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</si>
  <si>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</si>
  <si>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</si>
  <si>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</si>
  <si>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</si>
  <si>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</si>
  <si>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</si>
  <si>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</si>
  <si>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</si>
  <si>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</si>
  <si>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</si>
  <si>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</si>
  <si>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</si>
  <si>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</si>
  <si>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</si>
  <si>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</si>
  <si>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</si>
  <si>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</si>
  <si>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</si>
  <si>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</si>
  <si>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</si>
  <si>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</si>
  <si>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</si>
  <si>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</si>
  <si>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</si>
  <si>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</si>
  <si>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</si>
  <si>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</si>
  <si>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</si>
  <si>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</si>
  <si>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</si>
  <si>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</si>
  <si>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</si>
  <si>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</si>
  <si>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</si>
  <si>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</si>
  <si>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</si>
  <si>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</si>
  <si>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</si>
  <si>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</si>
  <si>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</si>
  <si>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</si>
  <si>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</si>
  <si>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</si>
  <si>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</si>
  <si>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</si>
  <si>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</si>
  <si>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</si>
  <si>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</si>
  <si>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</si>
  <si>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</si>
  <si>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</si>
  <si>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</si>
  <si>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</si>
  <si>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</si>
  <si>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</si>
  <si>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</si>
  <si>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</si>
  <si>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</si>
  <si>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</si>
  <si>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</si>
  <si>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</si>
  <si>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</si>
  <si>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</si>
  <si>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</si>
  <si>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</si>
  <si>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</si>
  <si>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</si>
  <si>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</si>
  <si>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</si>
  <si>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</si>
  <si>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</si>
  <si>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</si>
  <si>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</si>
  <si>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</si>
  <si>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</si>
  <si>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</si>
  <si>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</si>
  <si>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</si>
  <si>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</si>
  <si>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</si>
  <si>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</si>
  <si>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</si>
  <si>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</si>
  <si>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</si>
  <si>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</si>
  <si>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</si>
  <si>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</si>
  <si>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</si>
  <si>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</si>
  <si>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</si>
  <si>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</si>
  <si>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</si>
  <si>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</si>
  <si>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</si>
  <si>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</si>
  <si>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</si>
  <si>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</si>
  <si>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</si>
  <si>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</si>
  <si>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</si>
  <si>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</si>
  <si>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</si>
  <si>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</si>
  <si>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</si>
  <si>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</si>
  <si>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</si>
  <si>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</si>
  <si>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</si>
  <si>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</si>
  <si>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</si>
  <si>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</si>
  <si>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</si>
  <si>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</si>
  <si>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</si>
  <si>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</si>
  <si>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</si>
  <si>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</si>
  <si>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</si>
  <si>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</si>
  <si>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</si>
  <si>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</si>
  <si>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</si>
  <si>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</si>
  <si>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</si>
  <si>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</si>
  <si>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</si>
  <si>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</si>
  <si>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</si>
  <si>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</si>
  <si>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</si>
  <si>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</si>
  <si>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</si>
  <si>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</si>
  <si>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</si>
  <si>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</si>
  <si>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</si>
  <si>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</si>
  <si>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</si>
  <si>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</si>
  <si>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</si>
  <si>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</si>
  <si>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</si>
  <si>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</si>
  <si>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</si>
  <si>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</si>
  <si>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</si>
  <si>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</si>
  <si>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</si>
  <si>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</si>
  <si>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</si>
  <si>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</si>
  <si>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</si>
  <si>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</si>
  <si>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</si>
  <si>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</si>
  <si>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</si>
  <si>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</si>
  <si>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</si>
  <si>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</si>
  <si>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</si>
  <si>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</si>
  <si>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</si>
  <si>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</si>
  <si>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</si>
  <si>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</si>
  <si>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</si>
  <si>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</si>
  <si>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</si>
  <si>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</si>
  <si>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</si>
  <si>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</si>
  <si>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</si>
  <si>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</si>
  <si>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</si>
  <si>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</si>
  <si>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</si>
  <si>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</si>
  <si>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</si>
  <si>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</si>
  <si>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</si>
  <si>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</si>
  <si>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</si>
  <si>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</si>
  <si>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</si>
  <si>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</si>
  <si>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</si>
  <si>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</si>
  <si>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</si>
  <si>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</si>
  <si>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</si>
  <si>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</si>
  <si>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</si>
  <si>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</si>
  <si>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</si>
  <si>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</si>
  <si>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</si>
  <si>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</si>
  <si>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</si>
  <si>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</si>
  <si>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</si>
  <si>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</si>
  <si>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</si>
  <si>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</si>
  <si>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</si>
  <si>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</si>
  <si>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</si>
  <si>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</si>
  <si>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</si>
  <si>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</si>
  <si>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</si>
  <si>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</si>
  <si>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</si>
  <si>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</si>
  <si>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</si>
  <si>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</si>
  <si>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</si>
  <si>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</si>
  <si>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</si>
  <si>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</si>
  <si>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</si>
  <si>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</si>
  <si>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</si>
  <si>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</si>
  <si>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</si>
  <si>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</si>
  <si>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</si>
  <si>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</si>
  <si>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</si>
  <si>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</si>
  <si>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</si>
  <si>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</si>
  <si>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</si>
  <si>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</si>
  <si>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</si>
  <si>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</si>
  <si>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</si>
  <si>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</si>
  <si>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</si>
  <si>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</si>
  <si>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</si>
  <si>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</si>
  <si>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</si>
  <si>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</si>
  <si>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</si>
  <si>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</si>
  <si>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</si>
  <si>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</si>
  <si>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</si>
  <si>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</si>
  <si>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</si>
  <si>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</si>
  <si>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</si>
  <si>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</si>
  <si>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</si>
  <si>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</si>
  <si>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</si>
  <si>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</si>
  <si>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</si>
  <si>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</si>
  <si>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</si>
  <si>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</si>
  <si>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</si>
  <si>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</si>
  <si>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</si>
  <si>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</si>
  <si>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</si>
  <si>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</si>
  <si>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</si>
  <si>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</si>
  <si>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</si>
  <si>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</si>
  <si>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</si>
  <si>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</si>
  <si>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</si>
  <si>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</si>
  <si>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</si>
  <si>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</si>
  <si>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</si>
  <si>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</si>
  <si>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</si>
  <si>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</si>
  <si>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</si>
  <si>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</si>
  <si>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</si>
  <si>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</si>
  <si>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</si>
  <si>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</si>
  <si>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</si>
  <si>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</si>
  <si>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</si>
  <si>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</si>
  <si>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</si>
  <si>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</si>
  <si>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</si>
  <si>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</si>
  <si>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</si>
  <si>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</si>
  <si>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</si>
  <si>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</si>
  <si>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</si>
  <si>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</si>
  <si>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</si>
  <si>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</si>
  <si>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</si>
  <si>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</si>
  <si>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</si>
  <si>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</si>
  <si>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</si>
  <si>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</si>
  <si>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</si>
  <si>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</si>
  <si>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</si>
  <si>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</si>
  <si>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</si>
  <si>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</si>
  <si>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</si>
  <si>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</si>
  <si>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</si>
  <si>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</si>
  <si>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</si>
  <si>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</si>
  <si>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</si>
  <si>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</si>
  <si>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</si>
  <si>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</si>
  <si>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</si>
  <si>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</si>
  <si>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</si>
  <si>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</si>
  <si>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</si>
  <si>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</si>
  <si>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</si>
  <si>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</si>
  <si>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</si>
  <si>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</si>
  <si>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</si>
  <si>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</si>
  <si>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</si>
  <si>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</si>
  <si>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</si>
  <si>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</si>
  <si>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</si>
  <si>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</si>
  <si>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</si>
  <si>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</si>
  <si>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</si>
  <si>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</si>
  <si>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</si>
  <si>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</si>
  <si>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</si>
  <si>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</si>
  <si>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</si>
  <si>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</si>
  <si>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</si>
  <si>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</si>
  <si>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</si>
  <si>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</si>
  <si>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</si>
  <si>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</si>
  <si>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</si>
  <si>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</si>
  <si>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</si>
  <si>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</si>
  <si>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</si>
  <si>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</si>
  <si>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</si>
  <si>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</si>
  <si>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</si>
  <si>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</si>
  <si>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</si>
  <si>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</si>
  <si>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</si>
  <si>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</si>
  <si>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</si>
  <si>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</si>
  <si>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</si>
  <si>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</si>
  <si>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</si>
  <si>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</si>
  <si>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</si>
  <si>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</si>
  <si>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</si>
  <si>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</si>
  <si>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</si>
  <si>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</si>
  <si>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</si>
  <si>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</si>
  <si>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</si>
  <si>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</si>
  <si>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</si>
  <si>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</si>
  <si>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</si>
  <si>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</si>
  <si>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</si>
  <si>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</si>
  <si>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</si>
  <si>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</si>
  <si>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</si>
  <si>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</si>
  <si>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</si>
  <si>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</si>
  <si>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</si>
  <si>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</si>
  <si>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</si>
  <si>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</si>
  <si>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</si>
  <si>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</si>
  <si>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</si>
  <si>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</si>
  <si>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</si>
  <si>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</si>
  <si>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</si>
  <si>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</si>
  <si>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</si>
  <si>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</si>
  <si>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</si>
  <si>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</si>
  <si>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</si>
  <si>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</si>
  <si>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</si>
  <si>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</si>
  <si>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</si>
  <si>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</si>
  <si>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</si>
  <si>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</si>
  <si>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</si>
  <si>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</si>
  <si>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</si>
  <si>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</si>
  <si>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</si>
  <si>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</si>
  <si>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</si>
  <si>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</si>
  <si>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</si>
  <si>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</si>
  <si>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</si>
  <si>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</si>
  <si>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</si>
  <si>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</si>
  <si>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</si>
  <si>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</si>
  <si>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</si>
  <si>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</si>
  <si>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</si>
  <si>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</si>
  <si>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</si>
  <si>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</si>
  <si>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</si>
  <si>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</si>
  <si>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</si>
  <si>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</si>
  <si>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</si>
  <si>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</si>
  <si>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</si>
  <si>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</si>
  <si>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</si>
  <si>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</si>
  <si>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</si>
  <si>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</si>
  <si>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</si>
  <si>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不临65条商业街</t>
  </si>
  <si>
    <t>通路</t>
  </si>
  <si>
    <t>通电</t>
  </si>
  <si>
    <t>通讯</t>
  </si>
  <si>
    <t>通上水</t>
  </si>
  <si>
    <t>通下水</t>
  </si>
  <si>
    <t>燃气</t>
  </si>
  <si>
    <t>平整</t>
  </si>
  <si>
    <t>按公示增长率计算</t>
  </si>
  <si>
    <t>中心城区</t>
  </si>
  <si>
    <t>一般</t>
  </si>
  <si>
    <t>较好</t>
  </si>
  <si>
    <t>较差</t>
  </si>
  <si>
    <t>收益法</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</si>
  <si>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</si>
  <si>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</si>
  <si>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</si>
  <si>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</si>
  <si>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</si>
  <si>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一</t>
    <phoneticPr fontId="4" type="noConversion"/>
  </si>
  <si>
    <t>土地价值</t>
    <phoneticPr fontId="4" type="noConversion"/>
  </si>
  <si>
    <t>依据市场比较法得出</t>
    <phoneticPr fontId="4" type="noConversion"/>
  </si>
  <si>
    <t>土地面积（㎡）</t>
    <phoneticPr fontId="4" type="noConversion"/>
  </si>
  <si>
    <t>二</t>
    <phoneticPr fontId="4" type="noConversion"/>
  </si>
  <si>
    <t>土地未来第一年净收益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</si>
  <si>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</si>
  <si>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</si>
  <si>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</si>
  <si>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年增长比率(g)</t>
    <phoneticPr fontId="4" type="noConversion"/>
  </si>
  <si>
    <t>三</t>
    <phoneticPr fontId="4" type="noConversion"/>
  </si>
  <si>
    <t>租金单价</t>
    <phoneticPr fontId="4" type="noConversion"/>
  </si>
  <si>
    <r>
      <rPr>
        <b/>
        <sz val="10"/>
        <color rgb="FFFF0000"/>
        <rFont val="宋体"/>
        <family val="3"/>
        <charset val="134"/>
      </rPr>
      <t>上浮</t>
    </r>
    <r>
      <rPr>
        <b/>
        <sz val="10"/>
        <color rgb="FFFF0000"/>
        <rFont val="Arial"/>
        <family val="2"/>
      </rPr>
      <t>10%</t>
    </r>
    <phoneticPr fontId="4" type="noConversion"/>
  </si>
  <si>
    <t>下浮10%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</si>
</sst>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182">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10" fontId="98" fillId="0" borderId="1" xfId="19" applyNumberFormat="1" applyFont="1" applyBorder="1" applyAlignment="1" applyProtection="1">
      <alignment horizontal="left" vertical="center"/>
      <protection locked="0"/>
    </xf>
    <xf numFmtId="49" fontId="110" fillId="0" borderId="1"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179" fontId="110" fillId="0" borderId="1" xfId="0" applyNumberFormat="1" applyFont="1" applyBorder="1" applyAlignment="1" applyProtection="1">
      <alignment horizontal="center" vertical="center" wrapText="1" shrinkToFit="1"/>
      <protection locked="0"/>
    </xf>
    <xf numFmtId="9" fontId="110" fillId="0" borderId="1" xfId="0" applyNumberFormat="1" applyFont="1" applyBorder="1" applyAlignment="1" applyProtection="1">
      <alignment horizontal="left" vertical="center" wrapText="1" shrinkToFit="1"/>
      <protection locked="0"/>
    </xf>
    <xf numFmtId="181" fontId="270" fillId="0" borderId="1" xfId="0" applyNumberFormat="1" applyFont="1" applyBorder="1" applyAlignment="1" applyProtection="1">
      <alignment horizontal="center" vertical="center" wrapText="1" shrinkToFit="1"/>
      <protection locked="0"/>
    </xf>
    <xf numFmtId="179" fontId="270" fillId="0" borderId="1" xfId="0" applyNumberFormat="1" applyFont="1" applyBorder="1" applyAlignment="1" applyProtection="1">
      <alignment horizontal="center" vertical="center" wrapText="1" shrinkToFit="1"/>
      <protection locked="0"/>
    </xf>
    <xf numFmtId="0" fontId="138" fillId="7" borderId="0" xfId="0" applyNumberFormat="1" applyFont="1" applyFill="1" applyAlignment="1" applyProtection="1">
      <alignment horizontal="left" vertical="center" wrapText="1"/>
      <protection locked="0"/>
    </xf>
    <xf numFmtId="0" fontId="139" fillId="7" borderId="0" xfId="0" applyNumberFormat="1" applyFont="1" applyFill="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46" fillId="0" borderId="1"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125"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Alignment="1">
      <alignment horizontal="left" vertical="center" wrapText="1"/>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17"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184" fontId="112" fillId="0" borderId="0" xfId="0" applyFont="1" applyAlignment="1" applyProtection="1">
      <alignment horizontal="center" vertical="center" wrapText="1"/>
      <protection locked="0"/>
    </xf>
    <xf numFmtId="184" fontId="110" fillId="0" borderId="5" xfId="0" applyFont="1" applyBorder="1" applyAlignment="1" applyProtection="1">
      <alignment horizontal="center" vertical="center" wrapText="1" shrinkToFit="1"/>
      <protection locked="0"/>
    </xf>
    <xf numFmtId="184" fontId="110" fillId="0" borderId="54" xfId="0" applyFont="1" applyBorder="1" applyAlignment="1" applyProtection="1">
      <alignment horizontal="center" vertical="center" wrapText="1" shrinkToFit="1"/>
      <protection locked="0"/>
    </xf>
    <xf numFmtId="184" fontId="110" fillId="0" borderId="3" xfId="0" applyFont="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0" fontId="110" fillId="0" borderId="5" xfId="0" applyNumberFormat="1" applyFont="1" applyBorder="1" applyAlignment="1" applyProtection="1">
      <alignment horizontal="center" vertical="center" wrapText="1" shrinkToFit="1"/>
      <protection locked="0"/>
    </xf>
    <xf numFmtId="0" fontId="110" fillId="0" borderId="54" xfId="0" applyNumberFormat="1" applyFont="1" applyBorder="1" applyAlignment="1" applyProtection="1">
      <alignment horizontal="center" vertical="center" wrapText="1" shrinkToFit="1"/>
      <protection locked="0"/>
    </xf>
    <xf numFmtId="0" fontId="110" fillId="0" borderId="3"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0" fontId="110" fillId="0" borderId="46" xfId="0" applyNumberFormat="1" applyFont="1" applyBorder="1" applyAlignment="1" applyProtection="1">
      <alignment horizontal="center" vertical="center" wrapText="1" shrinkToFit="1"/>
      <protection locked="0"/>
    </xf>
    <xf numFmtId="0" fontId="110" fillId="0" borderId="36" xfId="0" applyNumberFormat="1" applyFont="1" applyBorder="1" applyAlignment="1" applyProtection="1">
      <alignment horizontal="center" vertical="center" wrapText="1" shrinkToFit="1"/>
      <protection locked="0"/>
    </xf>
    <xf numFmtId="0" fontId="110" fillId="0" borderId="22" xfId="0" applyNumberFormat="1" applyFont="1" applyBorder="1" applyAlignment="1" applyProtection="1">
      <alignment horizontal="center" vertical="center" wrapText="1" shrinkToFit="1"/>
      <protection locked="0"/>
    </xf>
    <xf numFmtId="0" fontId="110" fillId="0" borderId="58" xfId="0" applyNumberFormat="1" applyFont="1" applyBorder="1" applyAlignment="1" applyProtection="1">
      <alignment horizontal="center" vertical="center" wrapText="1" shrinkToFit="1"/>
      <protection locked="0"/>
    </xf>
    <xf numFmtId="0" fontId="110" fillId="0" borderId="0" xfId="0" applyNumberFormat="1" applyFont="1" applyAlignment="1" applyProtection="1">
      <alignment horizontal="center" vertical="center" wrapText="1" shrinkToFit="1"/>
      <protection locked="0"/>
    </xf>
    <xf numFmtId="0" fontId="110" fillId="0" borderId="35" xfId="0" applyNumberFormat="1" applyFont="1" applyBorder="1" applyAlignment="1" applyProtection="1">
      <alignment horizontal="center" vertical="center" wrapText="1" shrinkToFit="1"/>
      <protection locked="0"/>
    </xf>
    <xf numFmtId="0" fontId="110" fillId="0" borderId="4" xfId="0" applyNumberFormat="1" applyFont="1" applyBorder="1" applyAlignment="1" applyProtection="1">
      <alignment horizontal="center" vertical="center" wrapText="1" shrinkToFit="1"/>
      <protection locked="0"/>
    </xf>
    <xf numFmtId="0" fontId="110" fillId="0" borderId="60" xfId="0" applyNumberFormat="1" applyFont="1" applyBorder="1" applyAlignment="1" applyProtection="1">
      <alignment horizontal="center" vertical="center" wrapText="1" shrinkToFit="1"/>
      <protection locked="0"/>
    </xf>
    <xf numFmtId="0" fontId="110" fillId="0" borderId="7" xfId="0" applyNumberFormat="1" applyFont="1" applyBorder="1" applyAlignment="1" applyProtection="1">
      <alignment horizontal="center" vertical="center" wrapText="1" shrinkToFit="1"/>
      <protection locked="0"/>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cellXfs>
  <cellStyles count="20">
    <cellStyle name="百分比" xfId="19" builtinId="5"/>
    <cellStyle name="百分比 2" xfId="14" xr:uid="{00000000-0005-0000-0000-000001000000}"/>
    <cellStyle name="常规" xfId="0" builtinId="0"/>
    <cellStyle name="常规 10" xfId="17"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
  <cols>
    <col min="1" max="1" width="35.6328125" style="2630" customWidth="1"/>
    <col min="2" max="2" width="81" style="2631" customWidth="1"/>
    <col min="3" max="16384" width="9" style="2625"/>
  </cols>
  <sheetData>
    <row r="1" spans="1:2" s="2619" customFormat="1" ht="16" thickBot="1">
      <c r="A1" s="2617" t="s">
        <v>734</v>
      </c>
      <c r="B1" s="2618" t="s">
        <v>813</v>
      </c>
    </row>
    <row r="2" spans="1:2" s="2622" customFormat="1" ht="15.5" thickTop="1">
      <c r="A2" s="2620" t="s">
        <v>735</v>
      </c>
      <c r="B2" s="2621" t="str">
        <f>'预评函-封皮'!B37:I37</f>
        <v>预评估</v>
      </c>
    </row>
    <row r="3" spans="1:2">
      <c r="A3" s="2623" t="s">
        <v>736</v>
      </c>
      <c r="B3" s="2624">
        <f>'预评函-封皮'!B40</f>
        <v>0</v>
      </c>
    </row>
    <row r="4" spans="1:2">
      <c r="A4" s="2623" t="s">
        <v>737</v>
      </c>
      <c r="B4" s="2624" t="str">
        <f>'预评函-封皮'!B46</f>
        <v>（注册号：0)、（注册号：0)</v>
      </c>
    </row>
    <row r="5" spans="1:2" s="2619" customFormat="1" ht="15.5" thickBot="1">
      <c r="A5" s="2626" t="s">
        <v>738</v>
      </c>
      <c r="B5" s="2627" t="str">
        <f>'预评函-封皮'!B49</f>
        <v>康正预评字号</v>
      </c>
    </row>
    <row r="6" spans="1:2" s="2622" customFormat="1" ht="15.5" thickTop="1">
      <c r="A6" s="2620" t="s">
        <v>739</v>
      </c>
      <c r="B6" s="2621" t="str">
        <f>'预评函-1'!A4</f>
        <v>受贵公司委托，我公司对进行了预评估。</v>
      </c>
    </row>
    <row r="7" spans="1:2">
      <c r="A7" s="2623" t="s">
        <v>779</v>
      </c>
      <c r="B7" s="2624" t="e">
        <f>'预评函-1'!A7</f>
        <v>#DIV/0!</v>
      </c>
    </row>
    <row r="8" spans="1:2">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c r="A9" s="2623" t="s">
        <v>781</v>
      </c>
      <c r="B9" s="2624" t="e">
        <f>'预评函-1'!A10</f>
        <v>#DIV/0!</v>
      </c>
    </row>
    <row r="10" spans="1:2">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623" t="s">
        <v>740</v>
      </c>
      <c r="B11" s="2624" t="str">
        <f>'预评函-1'!A13</f>
        <v>为估价委托人了解估价对象房地产市场价值提供参考依据。</v>
      </c>
    </row>
    <row r="12" spans="1:2">
      <c r="A12" s="2623" t="s">
        <v>741</v>
      </c>
      <c r="B12" s="2624" t="str">
        <f>'预评函-1'!A15</f>
        <v>2022年10月19日（评估专业人员实地查勘之日）</v>
      </c>
    </row>
    <row r="13" spans="1:2">
      <c r="A13" s="2623" t="s">
        <v>742</v>
      </c>
      <c r="B13" s="2624"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c r="A14" s="2623" t="s">
        <v>743</v>
      </c>
      <c r="B14" s="2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623" t="s">
        <v>744</v>
      </c>
      <c r="B15" s="26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5.5" thickBot="1">
      <c r="A18" s="2626" t="s">
        <v>747</v>
      </c>
      <c r="B18" s="2627" t="str">
        <f>'预评函-1'!A24</f>
        <v>本次评估采用的主估价方法为基准地价系数修正法和基准地价系数修正法。</v>
      </c>
    </row>
    <row r="19" spans="1:2" s="2622" customFormat="1" ht="15.5"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623" t="s">
        <v>749</v>
      </c>
      <c r="B20" s="2624" t="e">
        <f ca="1">'预评函-2'!D5</f>
        <v>#REF!</v>
      </c>
    </row>
    <row r="21" spans="1:2">
      <c r="A21" s="2623" t="s">
        <v>750</v>
      </c>
      <c r="B21" s="2624" t="e">
        <f ca="1">'预评函-2'!D7</f>
        <v>#REF!</v>
      </c>
    </row>
    <row r="22" spans="1:2">
      <c r="A22" s="2623" t="s">
        <v>751</v>
      </c>
      <c r="B22" s="2624" t="e">
        <f ca="1">'预评函-2'!D6</f>
        <v>#REF!</v>
      </c>
    </row>
    <row r="23" spans="1:2">
      <c r="A23" s="2623" t="s">
        <v>802</v>
      </c>
      <c r="B23" s="2624" t="str">
        <f>'预评函-2'!B8</f>
        <v>2.估价师知悉的法定优先受偿款</v>
      </c>
    </row>
    <row r="24" spans="1:2">
      <c r="A24" s="2623" t="s">
        <v>808</v>
      </c>
      <c r="B24" s="2624">
        <f>'预评函-2'!D8</f>
        <v>0</v>
      </c>
    </row>
    <row r="25" spans="1:2">
      <c r="A25" s="2623" t="s">
        <v>752</v>
      </c>
      <c r="B25" s="2624" t="str">
        <f>'预评函-2'!D9</f>
        <v>零元整</v>
      </c>
    </row>
    <row r="26" spans="1:2">
      <c r="A26" s="2623" t="s">
        <v>753</v>
      </c>
      <c r="B26" s="2624">
        <f>'预评函-2'!D10</f>
        <v>0</v>
      </c>
    </row>
    <row r="27" spans="1:2">
      <c r="A27" s="2623" t="s">
        <v>754</v>
      </c>
      <c r="B27" s="2624">
        <f>'预评函-2'!D11</f>
        <v>0</v>
      </c>
    </row>
    <row r="28" spans="1:2">
      <c r="A28" s="2623" t="s">
        <v>755</v>
      </c>
      <c r="B28" s="2624">
        <f>'预评函-2'!D12</f>
        <v>0</v>
      </c>
    </row>
    <row r="29" spans="1:2">
      <c r="A29" s="2623" t="s">
        <v>806</v>
      </c>
      <c r="B29" s="2624" t="str">
        <f>'预评函-2'!B13</f>
        <v>3.房地产抵押价值</v>
      </c>
    </row>
    <row r="30" spans="1:2">
      <c r="A30" s="2623" t="s">
        <v>807</v>
      </c>
      <c r="B30" s="2624" t="e">
        <f ca="1">'预评函-2'!D13</f>
        <v>#REF!</v>
      </c>
    </row>
    <row r="31" spans="1:2">
      <c r="A31" s="2623" t="s">
        <v>789</v>
      </c>
      <c r="B31" s="2624" t="e">
        <f ca="1">'预评函-2'!D15</f>
        <v>#REF!</v>
      </c>
    </row>
    <row r="32" spans="1:2">
      <c r="A32" s="2623" t="s">
        <v>756</v>
      </c>
      <c r="B32" s="2624" t="e">
        <f ca="1">'预评函-2'!D14</f>
        <v>#REF!</v>
      </c>
    </row>
    <row r="33" spans="1:2">
      <c r="A33" s="2623" t="s">
        <v>791</v>
      </c>
      <c r="B33" s="2624" t="str">
        <f>'预评函-2'!B16</f>
        <v>——</v>
      </c>
    </row>
    <row r="34" spans="1:2">
      <c r="A34" s="2623" t="s">
        <v>809</v>
      </c>
      <c r="B34" s="2624" t="str">
        <f>'预评函-2'!D16</f>
        <v>——</v>
      </c>
    </row>
    <row r="35" spans="1:2">
      <c r="A35" s="2623" t="s">
        <v>790</v>
      </c>
      <c r="B35" s="2624" t="str">
        <f>'预评函-2'!D18</f>
        <v>——</v>
      </c>
    </row>
    <row r="36" spans="1:2">
      <c r="A36" s="2623" t="s">
        <v>757</v>
      </c>
      <c r="B36" s="2624" t="e">
        <f>'预评函-2'!D17</f>
        <v>#VALUE!</v>
      </c>
    </row>
    <row r="37" spans="1:2">
      <c r="A37" s="2623" t="s">
        <v>792</v>
      </c>
      <c r="B37" s="2624" t="str">
        <f>'预评函-2'!B19</f>
        <v>——</v>
      </c>
    </row>
    <row r="38" spans="1:2">
      <c r="A38" s="2623" t="s">
        <v>810</v>
      </c>
      <c r="B38" s="2624" t="str">
        <f>'预评函-2'!D19</f>
        <v>——</v>
      </c>
    </row>
    <row r="39" spans="1:2">
      <c r="A39" s="2623" t="s">
        <v>758</v>
      </c>
      <c r="B39" s="2624" t="str">
        <f>'预评函-2'!D21</f>
        <v>——</v>
      </c>
    </row>
    <row r="40" spans="1:2">
      <c r="A40" s="2623" t="s">
        <v>759</v>
      </c>
      <c r="B40" s="2624" t="e">
        <f>'预评函-2'!D20</f>
        <v>#VALUE!</v>
      </c>
    </row>
    <row r="41" spans="1:2">
      <c r="A41" s="2623" t="s">
        <v>805</v>
      </c>
      <c r="B41" s="2624" t="str">
        <f>'预评函-3'!A4</f>
        <v>房地产</v>
      </c>
    </row>
    <row r="42" spans="1:2" ht="30">
      <c r="A42" s="2623" t="s">
        <v>803</v>
      </c>
      <c r="B42" s="2624" t="str">
        <f>'预评函-3'!B2</f>
        <v>建筑面积</v>
      </c>
    </row>
    <row r="43" spans="1:2">
      <c r="A43" s="2623" t="s">
        <v>804</v>
      </c>
      <c r="B43" s="2624">
        <f>'预评函-3'!B4</f>
        <v>0</v>
      </c>
    </row>
    <row r="44" spans="1:2" ht="30">
      <c r="A44" s="2623" t="s">
        <v>788</v>
      </c>
      <c r="B44" s="2624" t="str">
        <f>'预评函-3'!C2</f>
        <v>(分摊)土地面积</v>
      </c>
    </row>
    <row r="45" spans="1:2">
      <c r="A45" s="2623" t="s">
        <v>760</v>
      </c>
      <c r="B45" s="2624" t="e">
        <f>'预评函-3'!C4</f>
        <v>#DIV/0!</v>
      </c>
    </row>
    <row r="46" spans="1:2">
      <c r="A46" s="2623" t="s">
        <v>786</v>
      </c>
      <c r="B46" s="2624" t="str">
        <f>'预评函-3'!D2</f>
        <v>出让国有建设用地使用权价值</v>
      </c>
    </row>
    <row r="47" spans="1:2">
      <c r="A47" s="2623" t="s">
        <v>761</v>
      </c>
      <c r="B47" s="2624" t="e">
        <f ca="1">'预评函-3'!D4</f>
        <v>#REF!</v>
      </c>
    </row>
    <row r="48" spans="1:2">
      <c r="A48" s="2623" t="s">
        <v>762</v>
      </c>
      <c r="B48" s="2624" t="e">
        <f ca="1">'预评函-3'!E4</f>
        <v>#REF!</v>
      </c>
    </row>
    <row r="49" spans="1:2">
      <c r="A49" s="2623" t="s">
        <v>763</v>
      </c>
      <c r="B49" s="2624" t="e">
        <f ca="1">'预评函-3'!D5</f>
        <v>#REF!</v>
      </c>
    </row>
    <row r="50" spans="1:2">
      <c r="A50" s="2623" t="s">
        <v>787</v>
      </c>
      <c r="B50" s="2624" t="str">
        <f>'预评函-3'!F2</f>
        <v>在建建筑物价值</v>
      </c>
    </row>
    <row r="51" spans="1:2">
      <c r="A51" s="2623" t="s">
        <v>764</v>
      </c>
      <c r="B51" s="2624" t="e">
        <f ca="1">'预评函-3'!F4</f>
        <v>#REF!</v>
      </c>
    </row>
    <row r="52" spans="1:2">
      <c r="A52" s="2623" t="s">
        <v>765</v>
      </c>
      <c r="B52" s="2624" t="e">
        <f ca="1">'预评函-3'!G4</f>
        <v>#REF!</v>
      </c>
    </row>
    <row r="53" spans="1:2">
      <c r="A53" s="2623" t="s">
        <v>793</v>
      </c>
      <c r="B53" s="2624" t="e">
        <f ca="1">'预评函-3'!F5</f>
        <v>#REF!</v>
      </c>
    </row>
    <row r="54" spans="1:2">
      <c r="A54" s="2623" t="s">
        <v>811</v>
      </c>
      <c r="B54" s="2624" t="str">
        <f>'预评函-3'!A8</f>
        <v>房地产抵押价值</v>
      </c>
    </row>
    <row r="55" spans="1:2">
      <c r="A55" s="2623" t="s">
        <v>794</v>
      </c>
      <c r="B55" s="2624" t="str">
        <f>'预评函-3'!A10</f>
        <v/>
      </c>
    </row>
    <row r="56" spans="1:2">
      <c r="A56" s="2623" t="s">
        <v>795</v>
      </c>
      <c r="B56" s="2624" t="str">
        <f>'预评函-3'!A12</f>
        <v/>
      </c>
    </row>
    <row r="57" spans="1:2" s="2619" customFormat="1" ht="15.5" thickBot="1">
      <c r="A57" s="2626" t="s">
        <v>812</v>
      </c>
      <c r="B57" s="2627" t="str">
        <f>'预评函-3'!A6</f>
        <v>估价师知悉的法定优先受偿款</v>
      </c>
    </row>
    <row r="58" spans="1:2" s="2622" customFormat="1" ht="15.5" thickTop="1">
      <c r="A58" s="2620" t="s">
        <v>766</v>
      </c>
      <c r="B58" s="2621" t="str">
        <f>'预评函-4'!A12</f>
        <v>2.本次评估设定估价对象房地产权属无争议，未被查封或者以其他形式限制其房地产权利，未设定抵押权等他项权利，不涉及第三方权利义务。</v>
      </c>
    </row>
    <row r="59" spans="1:2">
      <c r="A59" s="2623" t="s">
        <v>767</v>
      </c>
      <c r="B59" s="2624" t="str">
        <f>'预评函-4'!A13</f>
        <v>——</v>
      </c>
    </row>
    <row r="60" spans="1:2">
      <c r="A60" s="2623" t="s">
        <v>768</v>
      </c>
      <c r="B60" s="2624" t="str">
        <f>'预评函-4'!A14</f>
        <v>——</v>
      </c>
    </row>
    <row r="61" spans="1:2">
      <c r="A61" s="2623" t="s">
        <v>769</v>
      </c>
      <c r="B61" s="2624" t="str">
        <f>'预评函-4'!A15</f>
        <v>——</v>
      </c>
    </row>
    <row r="62" spans="1:2">
      <c r="A62" s="2623" t="s">
        <v>770</v>
      </c>
      <c r="B62" s="2624" t="str">
        <f>'预评函-4'!A16</f>
        <v>（2）根据《工程款支付情况说明》，截至价值时点，估价对象不存在应付未付工程款项。（只要没有施工方盖章的，均“设定”进行表述）</v>
      </c>
    </row>
    <row r="63" spans="1:2">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623" t="s">
        <v>783</v>
      </c>
      <c r="B64" s="2624" t="str">
        <f>'预评函-4'!A18</f>
        <v>——</v>
      </c>
    </row>
    <row r="65" spans="1:2">
      <c r="A65" s="2623" t="s">
        <v>772</v>
      </c>
      <c r="B65" s="26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623" t="s">
        <v>785</v>
      </c>
      <c r="B68" s="2624" t="str">
        <f>'预评函-4'!A22</f>
        <v>8.其他需特殊说明事项：无（注意调整序号）</v>
      </c>
    </row>
    <row r="69" spans="1:2" s="2619" customFormat="1" ht="15.5" thickBot="1">
      <c r="A69" s="2626" t="s">
        <v>774</v>
      </c>
      <c r="B69" s="2627">
        <f>'预评函-4'!C31</f>
        <v>42551</v>
      </c>
    </row>
    <row r="70" spans="1:2" ht="15.5" thickTop="1">
      <c r="A70" s="2628" t="s">
        <v>775</v>
      </c>
      <c r="B70" s="2629">
        <f>'预评函-4'!A4</f>
        <v>0</v>
      </c>
    </row>
    <row r="71" spans="1:2">
      <c r="A71" s="2623" t="s">
        <v>776</v>
      </c>
      <c r="B71" s="2624">
        <f>'预评函-4'!B4</f>
        <v>0</v>
      </c>
    </row>
    <row r="72" spans="1:2">
      <c r="A72" s="2623" t="s">
        <v>777</v>
      </c>
      <c r="B72" s="2624">
        <f>'预评函-4'!A5</f>
        <v>0</v>
      </c>
    </row>
    <row r="73" spans="1:2" s="2619" customFormat="1" ht="15.5" thickBot="1">
      <c r="A73" s="2626" t="s">
        <v>778</v>
      </c>
      <c r="B73" s="2627">
        <f>'预评函-4'!B5</f>
        <v>0</v>
      </c>
    </row>
    <row r="74" spans="1:2" ht="15.5"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
  <cols>
    <col min="1" max="1" width="13.453125" style="2683" customWidth="1"/>
    <col min="2" max="2" width="23.26953125" style="2616" customWidth="1"/>
    <col min="3" max="3" width="13" style="2679" customWidth="1"/>
    <col min="4" max="4" width="5.7265625" style="2677" customWidth="1"/>
    <col min="5" max="5" width="7.08984375" style="2677" customWidth="1"/>
    <col min="6" max="6" width="10.6328125" style="2677" customWidth="1"/>
    <col min="7" max="7" width="13.453125" style="2677" customWidth="1"/>
    <col min="8" max="8" width="9" style="2679" customWidth="1"/>
    <col min="9" max="9" width="11.6328125" style="2679" customWidth="1"/>
    <col min="10" max="10" width="9" style="2679" customWidth="1"/>
    <col min="11" max="19" width="9" style="2677" customWidth="1"/>
    <col min="20" max="23" width="9" style="2679" customWidth="1"/>
    <col min="24" max="24" width="21.08984375" style="2616" customWidth="1"/>
    <col min="25" max="16384" width="9" style="2616"/>
  </cols>
  <sheetData>
    <row r="1" spans="1:23" s="2674" customFormat="1" ht="28">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80"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0"/>
      <c r="B54" s="2682" t="s">
        <v>594</v>
      </c>
      <c r="C54" s="2679" t="s">
        <v>796</v>
      </c>
    </row>
    <row r="55" spans="1:4">
      <c r="A55" s="2880"/>
      <c r="B55" s="2682" t="s">
        <v>595</v>
      </c>
      <c r="C55" s="2679" t="s">
        <v>797</v>
      </c>
    </row>
    <row r="56" spans="1:4">
      <c r="A56" s="2880"/>
      <c r="B56" s="2682" t="s">
        <v>596</v>
      </c>
      <c r="C56" s="2679" t="s">
        <v>801</v>
      </c>
    </row>
    <row r="57" spans="1:4">
      <c r="A57" s="2880"/>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2.5"/>
  <cols>
    <col min="1" max="1" width="16.90625" style="2719" customWidth="1"/>
    <col min="2" max="2" width="10" style="2719" customWidth="1"/>
    <col min="3" max="3" width="11.453125" style="2719" customWidth="1"/>
    <col min="4" max="4" width="12.26953125" style="2719" customWidth="1"/>
    <col min="5" max="5" width="12.6328125" style="2719" customWidth="1"/>
    <col min="6" max="6" width="10" style="2719" customWidth="1"/>
    <col min="7" max="7" width="10.7265625" style="2719" customWidth="1"/>
    <col min="8" max="8" width="10" style="2719" customWidth="1"/>
    <col min="9" max="9" width="11.0898437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3.5" thickBot="1">
      <c r="A1" s="2716" t="s">
        <v>2430</v>
      </c>
      <c r="B1" s="2888" t="str">
        <f>IF(B10="北京市","北京市",C10)&amp;F10&amp;IF(结果表!G1="在建","出让国有建设用地使用权及在建建筑物",IF(结果表!G1="土地","出让国有建设用地使用权",))&amp;B9&amp;"预评估"</f>
        <v>预评估</v>
      </c>
      <c r="C1" s="2889"/>
      <c r="D1" s="2889"/>
      <c r="E1" s="2889"/>
      <c r="F1" s="2889"/>
      <c r="G1" s="2889"/>
      <c r="H1" s="2889"/>
      <c r="I1" s="2890"/>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
      </c>
      <c r="T1" s="2719"/>
      <c r="U1" s="2719"/>
      <c r="V1" s="2719"/>
      <c r="W1" s="2719"/>
      <c r="X1" s="2719"/>
      <c r="Y1" s="2719"/>
      <c r="Z1" s="2719"/>
      <c r="AA1" s="2719"/>
      <c r="AB1" s="2719"/>
    </row>
    <row r="2" spans="1:28" ht="13">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房地产</v>
      </c>
      <c r="T2" s="2719"/>
      <c r="U2" s="2719"/>
      <c r="V2" s="2719"/>
      <c r="W2" s="2719"/>
      <c r="X2" s="2719"/>
      <c r="Y2" s="2719"/>
      <c r="Z2" s="2719"/>
      <c r="AA2" s="2719"/>
      <c r="AB2" s="2719"/>
    </row>
    <row r="3" spans="1:28" ht="13">
      <c r="A3" s="818" t="s">
        <v>2432</v>
      </c>
      <c r="B3" s="332">
        <v>44853</v>
      </c>
      <c r="C3" s="2724" t="s">
        <v>2433</v>
      </c>
      <c r="D3" s="332">
        <f>B3</f>
        <v>44853</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3.5"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3.5"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ht="13">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ht="13">
      <c r="A7" s="2730" t="s">
        <v>2437</v>
      </c>
      <c r="B7" s="2735"/>
      <c r="C7" s="2732"/>
      <c r="D7" s="2733"/>
      <c r="E7" s="2722"/>
      <c r="F7" s="2723"/>
      <c r="G7" s="2723"/>
      <c r="H7" s="2723"/>
      <c r="I7" s="2723"/>
      <c r="J7" s="765"/>
      <c r="K7" s="2734"/>
      <c r="L7" s="938"/>
      <c r="M7" s="938"/>
      <c r="N7" s="765"/>
      <c r="O7" s="938"/>
      <c r="P7" s="765"/>
      <c r="Q7" s="765"/>
      <c r="R7" s="765"/>
    </row>
    <row r="8" spans="1:28" ht="13">
      <c r="A8" s="2736" t="s">
        <v>2438</v>
      </c>
      <c r="B8" s="2737"/>
      <c r="C8" s="2738"/>
      <c r="D8" s="2891" t="s">
        <v>2439</v>
      </c>
      <c r="E8" s="2739"/>
      <c r="F8" s="2740"/>
      <c r="G8" s="2723"/>
      <c r="H8" s="2723"/>
      <c r="I8" s="2723"/>
      <c r="J8" s="765"/>
      <c r="K8" s="2741"/>
      <c r="L8" s="938"/>
      <c r="M8" s="938"/>
      <c r="N8" s="765"/>
      <c r="O8" s="938"/>
      <c r="P8" s="765"/>
      <c r="Q8" s="765"/>
      <c r="R8" s="765"/>
    </row>
    <row r="9" spans="1:28" ht="13.5" thickBot="1">
      <c r="A9" s="2742" t="s">
        <v>2440</v>
      </c>
      <c r="B9" s="2743"/>
      <c r="C9" s="2744"/>
      <c r="D9" s="2892"/>
      <c r="E9" s="2743"/>
      <c r="F9" s="2745"/>
      <c r="G9" s="2746"/>
      <c r="H9" s="2746"/>
      <c r="I9" s="2746"/>
      <c r="J9" s="765"/>
      <c r="K9" s="2734"/>
      <c r="L9" s="938"/>
      <c r="M9" s="938"/>
      <c r="N9" s="765"/>
      <c r="O9" s="938"/>
      <c r="P9" s="765"/>
      <c r="Q9" s="765"/>
      <c r="R9" s="765"/>
    </row>
    <row r="10" spans="1:28" ht="13.5" thickTop="1">
      <c r="A10" s="2747" t="s">
        <v>2441</v>
      </c>
      <c r="B10" s="2748"/>
      <c r="C10" s="2749"/>
      <c r="D10" s="2729"/>
      <c r="E10" s="926" t="s">
        <v>2442</v>
      </c>
      <c r="F10" s="2750"/>
      <c r="G10" s="2751"/>
      <c r="H10" s="2752"/>
      <c r="I10" s="2753"/>
      <c r="J10" s="765"/>
      <c r="K10" s="2734"/>
      <c r="L10" s="938"/>
      <c r="M10" s="938"/>
      <c r="N10" s="765"/>
      <c r="O10" s="938"/>
      <c r="P10" s="765"/>
      <c r="Q10" s="765"/>
      <c r="R10" s="765"/>
    </row>
    <row r="11" spans="1:28" ht="13">
      <c r="A11" s="2754" t="s">
        <v>2443</v>
      </c>
      <c r="B11" s="2755"/>
      <c r="C11" s="2756"/>
      <c r="D11" s="2757"/>
      <c r="E11" s="2718"/>
      <c r="F11" s="2718"/>
      <c r="G11" s="2718"/>
      <c r="H11" s="2718"/>
      <c r="I11" s="2718"/>
      <c r="J11" s="765"/>
      <c r="K11" s="2734"/>
      <c r="L11" s="938"/>
      <c r="M11" s="938"/>
      <c r="N11" s="765"/>
      <c r="O11" s="938"/>
      <c r="P11" s="765"/>
      <c r="Q11" s="765"/>
      <c r="R11" s="765"/>
    </row>
    <row r="12" spans="1:28" ht="13">
      <c r="A12" s="2758" t="s">
        <v>2444</v>
      </c>
      <c r="B12" s="2755" t="s">
        <v>3087</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ht="13">
      <c r="A13" s="1279"/>
      <c r="B13" s="2759"/>
      <c r="C13" s="2760" t="s">
        <v>2452</v>
      </c>
      <c r="D13" s="2761"/>
      <c r="E13" s="2761"/>
      <c r="F13" s="2828">
        <v>54556</v>
      </c>
      <c r="G13" s="2761"/>
      <c r="H13" s="2761"/>
      <c r="I13" s="2761"/>
      <c r="J13" s="765"/>
      <c r="K13" s="2734"/>
      <c r="L13" s="938"/>
      <c r="M13" s="938"/>
      <c r="N13" s="765"/>
      <c r="O13" s="938"/>
      <c r="P13" s="765"/>
      <c r="Q13" s="765"/>
      <c r="R13" s="765"/>
    </row>
    <row r="14" spans="1:28" ht="13">
      <c r="A14" s="1279"/>
      <c r="B14" s="2759"/>
      <c r="C14" s="2760" t="s">
        <v>2453</v>
      </c>
      <c r="D14" s="2762"/>
      <c r="E14" s="2762"/>
      <c r="F14" s="2762">
        <v>50</v>
      </c>
      <c r="G14" s="2762"/>
      <c r="H14" s="2762"/>
      <c r="I14" s="2762"/>
      <c r="J14" s="765"/>
      <c r="K14" s="2734"/>
      <c r="L14" s="938"/>
      <c r="M14" s="938"/>
      <c r="N14" s="765"/>
      <c r="O14" s="938"/>
      <c r="P14" s="765"/>
      <c r="Q14" s="765"/>
      <c r="R14" s="765"/>
    </row>
    <row r="15" spans="1:28" ht="13">
      <c r="A15" s="913"/>
      <c r="B15" s="2763"/>
      <c r="C15" s="2764" t="s">
        <v>2454</v>
      </c>
      <c r="D15" s="433" t="str">
        <f>IF(B12="出让",IF(D13="","",ROUNDDOWN(MIN((D13-$D$3)/365,D14),2)),D14)</f>
        <v/>
      </c>
      <c r="E15" s="433" t="str">
        <f>IF(B12="出让",IF(E13="","",ROUNDDOWN(MIN((E13-$D$3)/365,E14),2)),E14)</f>
        <v/>
      </c>
      <c r="F15" s="433">
        <f>IF(B12="出让",IF(F13="","",ROUNDDOWN(MIN((F13-$D$3)/365,F14),2)),F14)</f>
        <v>26.58</v>
      </c>
      <c r="G15" s="433" t="str">
        <f>IF(B12="出让",IF(G13="","",ROUNDDOWN(MIN((G13-$D$3)/365,G14),2)),G14)</f>
        <v/>
      </c>
      <c r="H15" s="433" t="str">
        <f>IF(B12="出让",IF(H13="","",ROUNDDOWN(MIN((H13-$D$3)/365,H14),2)),H14)</f>
        <v/>
      </c>
      <c r="I15" s="433" t="str">
        <f>IF(B12="出让",IF(I13="","",ROUNDDOWN(MIN((I13-$D$3)/365,I14),2)),I14)</f>
        <v/>
      </c>
      <c r="J15" s="765"/>
      <c r="K15" s="2734"/>
      <c r="L15" s="938"/>
      <c r="M15" s="938"/>
      <c r="N15" s="765"/>
      <c r="O15" s="938"/>
      <c r="P15" s="765"/>
      <c r="Q15" s="765"/>
      <c r="R15" s="765"/>
    </row>
    <row r="16" spans="1:28" ht="13">
      <c r="A16" s="926" t="s">
        <v>2455</v>
      </c>
      <c r="B16" s="2898"/>
      <c r="C16" s="2899"/>
      <c r="D16" s="2900"/>
      <c r="E16" s="924" t="s">
        <v>2456</v>
      </c>
      <c r="F16" s="2901"/>
      <c r="G16" s="2899"/>
      <c r="H16" s="2899"/>
      <c r="I16" s="2900"/>
      <c r="J16" s="765"/>
      <c r="K16" s="2734"/>
      <c r="L16" s="938"/>
      <c r="M16" s="938"/>
      <c r="N16" s="765"/>
      <c r="O16" s="938"/>
      <c r="P16" s="765"/>
      <c r="Q16" s="765"/>
      <c r="R16" s="765"/>
    </row>
    <row r="17" spans="1:28" ht="13">
      <c r="A17" s="1258" t="s">
        <v>2457</v>
      </c>
      <c r="B17" s="818" t="s">
        <v>2458</v>
      </c>
      <c r="C17" s="433">
        <f>'数据-汇总表'!E3</f>
        <v>0</v>
      </c>
      <c r="D17" s="912" t="s">
        <v>2459</v>
      </c>
      <c r="E17" s="2902" t="s">
        <v>2460</v>
      </c>
      <c r="F17" s="2903"/>
      <c r="G17" s="2903"/>
      <c r="H17" s="2903"/>
      <c r="I17" s="2904"/>
      <c r="J17" s="765"/>
      <c r="K17" s="2741"/>
      <c r="L17" s="938"/>
      <c r="M17" s="938"/>
      <c r="N17" s="765"/>
      <c r="O17" s="938"/>
      <c r="P17" s="765"/>
      <c r="Q17" s="765"/>
      <c r="R17" s="765"/>
      <c r="S17" s="765"/>
      <c r="T17" s="765"/>
      <c r="U17" s="765"/>
      <c r="V17" s="765"/>
    </row>
    <row r="18" spans="1:28" ht="26.5" thickBot="1">
      <c r="A18" s="2765" t="s">
        <v>2461</v>
      </c>
      <c r="B18" s="1272" t="s">
        <v>2462</v>
      </c>
      <c r="C18" s="2766" t="e">
        <f>'数据-汇总表'!D3</f>
        <v>#DIV/0!</v>
      </c>
      <c r="D18" s="1305" t="s">
        <v>2463</v>
      </c>
      <c r="E18" s="2905" t="s">
        <v>2464</v>
      </c>
      <c r="F18" s="2906"/>
      <c r="G18" s="2906"/>
      <c r="H18" s="2906"/>
      <c r="I18" s="2907"/>
      <c r="J18" s="765"/>
      <c r="K18" s="2741"/>
      <c r="L18" s="938"/>
      <c r="M18" s="938"/>
      <c r="N18" s="765"/>
      <c r="O18" s="938"/>
      <c r="P18" s="765"/>
      <c r="Q18" s="765"/>
      <c r="R18" s="765"/>
      <c r="S18" s="765"/>
      <c r="T18" s="765"/>
      <c r="U18" s="765"/>
      <c r="V18" s="765"/>
    </row>
    <row r="19" spans="1:28" ht="27"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ht="13">
      <c r="A20" s="2772" t="s">
        <v>2467</v>
      </c>
      <c r="B20" s="2894" t="s">
        <v>2468</v>
      </c>
      <c r="C20" s="2895"/>
      <c r="D20" s="2896" t="s">
        <v>2469</v>
      </c>
      <c r="E20" s="2897"/>
      <c r="F20" s="2773" t="s">
        <v>1280</v>
      </c>
      <c r="G20" s="2723"/>
      <c r="H20" s="2723"/>
      <c r="I20" s="2723"/>
      <c r="J20" s="765"/>
      <c r="K20" s="2893"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26.5" thickBot="1">
      <c r="A21" s="2772"/>
      <c r="B21" s="2774" t="s">
        <v>2471</v>
      </c>
      <c r="C21" s="797" t="s">
        <v>1281</v>
      </c>
      <c r="D21" s="2775" t="s">
        <v>2472</v>
      </c>
      <c r="E21" s="2776" t="s">
        <v>1281</v>
      </c>
      <c r="F21" s="2777"/>
      <c r="G21" s="2723"/>
      <c r="H21" s="2723"/>
      <c r="I21" s="2723"/>
      <c r="J21" s="765"/>
      <c r="K21" s="2893"/>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26.5" thickBot="1">
      <c r="A22" s="2772"/>
      <c r="B22" s="2778" t="s">
        <v>2473</v>
      </c>
      <c r="C22" s="797" t="s">
        <v>1282</v>
      </c>
      <c r="D22" s="2723"/>
      <c r="E22" s="2723"/>
      <c r="F22" s="2723"/>
      <c r="G22" s="2723"/>
      <c r="H22" s="2723"/>
      <c r="I22" s="2723"/>
      <c r="J22" s="765"/>
      <c r="K22" s="2893"/>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ht="13">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ht="13">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ht="13">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3.5"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3.5" thickTop="1">
      <c r="A27" s="2882" t="s">
        <v>2476</v>
      </c>
      <c r="B27" s="913" t="s">
        <v>2477</v>
      </c>
      <c r="C27" s="2788"/>
      <c r="D27" s="2789"/>
      <c r="E27" s="2723"/>
      <c r="F27" s="2723"/>
      <c r="G27" s="2723"/>
      <c r="H27" s="2723"/>
      <c r="I27" s="2723"/>
      <c r="J27" s="765"/>
      <c r="K27" s="2734"/>
      <c r="L27" s="938"/>
      <c r="M27" s="938"/>
      <c r="N27" s="765"/>
      <c r="O27" s="938"/>
      <c r="P27" s="765"/>
      <c r="Q27" s="765"/>
      <c r="R27" s="765"/>
      <c r="S27" s="765"/>
      <c r="T27" s="765"/>
      <c r="U27" s="765"/>
      <c r="V27" s="765"/>
    </row>
    <row r="28" spans="1:28" ht="13">
      <c r="A28" s="2882"/>
      <c r="B28" s="818" t="s">
        <v>2478</v>
      </c>
      <c r="C28" s="2790"/>
      <c r="D28" s="2791"/>
      <c r="E28" s="2723"/>
      <c r="F28" s="2723"/>
      <c r="G28" s="2723"/>
      <c r="H28" s="2723"/>
      <c r="I28" s="2723"/>
      <c r="J28" s="765"/>
      <c r="K28" s="2734"/>
      <c r="L28" s="938"/>
      <c r="M28" s="938"/>
      <c r="N28" s="765"/>
      <c r="O28" s="938"/>
      <c r="P28" s="765"/>
      <c r="Q28" s="765"/>
      <c r="R28" s="765"/>
      <c r="S28" s="765"/>
      <c r="T28" s="765"/>
      <c r="U28" s="765"/>
      <c r="V28" s="765"/>
    </row>
    <row r="29" spans="1:28" ht="13">
      <c r="A29" s="2882"/>
      <c r="B29" s="818" t="s">
        <v>2479</v>
      </c>
      <c r="C29" s="2792"/>
      <c r="D29" s="2793"/>
      <c r="E29" s="2723"/>
      <c r="F29" s="2723"/>
      <c r="G29" s="2723"/>
      <c r="H29" s="2723"/>
      <c r="I29" s="2723"/>
      <c r="J29" s="765"/>
      <c r="K29" s="2734"/>
      <c r="L29" s="938"/>
      <c r="M29" s="938"/>
      <c r="N29" s="765"/>
      <c r="O29" s="938"/>
      <c r="P29" s="765"/>
      <c r="Q29" s="765"/>
      <c r="R29" s="765"/>
      <c r="S29" s="765"/>
      <c r="T29" s="765"/>
      <c r="U29" s="765"/>
      <c r="V29" s="765"/>
    </row>
    <row r="30" spans="1:28" ht="13">
      <c r="A30" s="2883"/>
      <c r="B30" s="818" t="s">
        <v>2480</v>
      </c>
      <c r="C30" s="2884"/>
      <c r="D30" s="2885"/>
      <c r="E30" s="2723"/>
      <c r="F30" s="2723"/>
      <c r="G30" s="2723"/>
      <c r="H30" s="2723"/>
      <c r="I30" s="2723"/>
      <c r="J30" s="765"/>
      <c r="K30" s="2734"/>
      <c r="L30" s="938"/>
      <c r="M30" s="938"/>
      <c r="N30" s="765"/>
      <c r="O30" s="938"/>
      <c r="P30" s="765"/>
      <c r="Q30" s="765"/>
      <c r="R30" s="765"/>
      <c r="S30" s="765"/>
      <c r="T30" s="765"/>
      <c r="U30" s="765"/>
      <c r="V30" s="765"/>
    </row>
    <row r="31" spans="1:28">
      <c r="A31" s="2886" t="s">
        <v>2481</v>
      </c>
      <c r="B31" s="2794"/>
      <c r="C31" s="911" t="str">
        <f>IF(B31="现房","成新及维护状况正常否",IF(B31="在建","工程状态是否正常",IF(B31="土地","是否闲置","-")))</f>
        <v>-</v>
      </c>
      <c r="D31" s="771"/>
      <c r="E31" s="2795"/>
      <c r="F31" s="2723"/>
      <c r="G31" s="2723"/>
      <c r="H31" s="2723"/>
      <c r="I31" s="2723"/>
      <c r="J31" s="765"/>
      <c r="K31" s="2734"/>
      <c r="L31" s="938"/>
      <c r="M31" s="938"/>
      <c r="N31" s="765"/>
      <c r="O31" s="938"/>
      <c r="P31" s="765"/>
      <c r="Q31" s="765"/>
      <c r="R31" s="765"/>
      <c r="S31" s="765"/>
      <c r="T31" s="765"/>
      <c r="U31" s="765"/>
      <c r="V31" s="765"/>
    </row>
    <row r="32" spans="1:28">
      <c r="A32" s="2887"/>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887"/>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ht="13">
      <c r="A34" s="818" t="s">
        <v>2482</v>
      </c>
      <c r="B34" s="2798"/>
      <c r="C34" s="2798"/>
      <c r="D34" s="2798"/>
      <c r="E34" s="2798"/>
      <c r="F34" s="2798"/>
      <c r="G34" s="2798"/>
      <c r="H34" s="2798"/>
      <c r="I34" s="2723"/>
      <c r="J34" s="765"/>
      <c r="K34" s="433">
        <f>COUNTIF(B34:H34,"——")</f>
        <v>0</v>
      </c>
      <c r="L34" s="434" t="s">
        <v>2483</v>
      </c>
      <c r="M34" s="434" t="s">
        <v>2484</v>
      </c>
      <c r="N34" s="434" t="s">
        <v>2485</v>
      </c>
      <c r="O34" s="434" t="s">
        <v>2486</v>
      </c>
      <c r="P34" s="434" t="s">
        <v>2487</v>
      </c>
      <c r="Q34" s="434" t="s">
        <v>2488</v>
      </c>
      <c r="R34" s="434" t="s">
        <v>2489</v>
      </c>
      <c r="S34" s="2881" t="s">
        <v>2490</v>
      </c>
      <c r="T34" s="434" t="str">
        <f>NUMBERSTRING(7-K34,1)&amp;"通"</f>
        <v>七通</v>
      </c>
      <c r="U34" s="765"/>
      <c r="V34" s="765"/>
    </row>
    <row r="35" spans="1:30">
      <c r="A35" s="2799"/>
      <c r="B35" s="2881" t="s">
        <v>2491</v>
      </c>
      <c r="C35" s="2881"/>
      <c r="D35" s="2881"/>
      <c r="E35" s="2881"/>
      <c r="F35" s="433">
        <f>C10</f>
        <v>0</v>
      </c>
      <c r="G35" s="2723"/>
      <c r="H35" s="2723"/>
      <c r="I35" s="2723"/>
      <c r="J35" s="765"/>
      <c r="K35" s="434"/>
      <c r="L35" s="434">
        <f>B34</f>
        <v>0</v>
      </c>
      <c r="M35" s="554" t="str">
        <f>B34&amp;"、"&amp;C34</f>
        <v>、</v>
      </c>
      <c r="N35" s="554" t="str">
        <f>B34&amp;"、"&amp;C34&amp;"、"&amp;D34</f>
        <v>、、</v>
      </c>
      <c r="O35" s="554" t="str">
        <f>B34&amp;"、"&amp;C34&amp;"、"&amp;D34&amp;"、"&amp;E34</f>
        <v>、、、</v>
      </c>
      <c r="P35" s="554" t="str">
        <f>B34&amp;"、"&amp;C34&amp;"、"&amp;D34&amp;"、"&amp;E34&amp;"、"&amp;F34</f>
        <v>、、、、</v>
      </c>
      <c r="Q35" s="554" t="str">
        <f>B34&amp;"、"&amp;C34&amp;"、"&amp;D34&amp;"、"&amp;E34&amp;"、"&amp;F34&amp;"、"&amp;G34</f>
        <v>、、、、、</v>
      </c>
      <c r="R35" s="554" t="str">
        <f>B34&amp;"、"&amp;C34&amp;"、"&amp;D34&amp;"、"&amp;E34&amp;"、"&amp;F34&amp;"、"&amp;G34&amp;"、"&amp;H34</f>
        <v>、、、、、、</v>
      </c>
      <c r="S35" s="2881"/>
      <c r="T35" s="554" t="str">
        <f>IF(T34="一通",L35,IF(T34="二通",M35,IF(T34="三通",N35,IF(T34="四通",O35,IF(T34="五通",P35,IF(T34="六通",Q35,R35))))))</f>
        <v>、、、、、、</v>
      </c>
      <c r="U35" s="765"/>
      <c r="V35" s="765"/>
    </row>
    <row r="36" spans="1:30" ht="13">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ht="13">
      <c r="A37" s="2800" t="s">
        <v>2492</v>
      </c>
      <c r="B37" s="1155"/>
      <c r="C37" s="1155" t="s">
        <v>235</v>
      </c>
      <c r="D37" s="1155"/>
      <c r="E37" s="1155"/>
      <c r="F37" s="1155"/>
      <c r="G37" s="2723"/>
      <c r="H37" s="2723"/>
      <c r="I37" s="2723"/>
      <c r="J37" s="765"/>
      <c r="K37" s="2734"/>
      <c r="L37" s="938"/>
      <c r="M37" s="938"/>
      <c r="N37" s="765"/>
      <c r="O37" s="938"/>
      <c r="P37" s="765"/>
      <c r="Q37" s="765"/>
      <c r="R37" s="765"/>
      <c r="S37" s="765"/>
      <c r="T37" s="765"/>
      <c r="U37" s="765"/>
      <c r="V37" s="765"/>
    </row>
    <row r="38" spans="1:30" ht="13.5" thickBot="1">
      <c r="A38" s="2801" t="s">
        <v>2493</v>
      </c>
      <c r="B38" s="2802"/>
      <c r="C38" s="2802" t="s">
        <v>263</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4"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ht="13">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26">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90625" defaultRowHeight="14"/>
  <cols>
    <col min="1" max="1" width="10.6328125" style="207" customWidth="1"/>
    <col min="2" max="2" width="11" style="207" customWidth="1"/>
    <col min="3" max="3" width="10.36328125" style="207" customWidth="1"/>
    <col min="4" max="4" width="9.08984375" style="207" customWidth="1"/>
    <col min="5" max="8" width="10" style="207" customWidth="1"/>
    <col min="9" max="9" width="10.6328125" style="207" customWidth="1"/>
    <col min="10" max="10" width="9.453125" style="207" customWidth="1"/>
    <col min="11" max="11" width="11" style="207" customWidth="1"/>
    <col min="12" max="14" width="9.453125" style="207" customWidth="1"/>
    <col min="15" max="15" width="9.90625" style="207" customWidth="1"/>
    <col min="16" max="16" width="9.7265625" style="207" customWidth="1"/>
    <col min="17" max="17" width="9.36328125" style="207" customWidth="1"/>
    <col min="18" max="18" width="9.26953125" style="207" customWidth="1"/>
    <col min="19" max="19" width="10.90625" style="207" customWidth="1"/>
    <col min="20" max="21" width="10.7265625" style="207" customWidth="1"/>
    <col min="22" max="22" width="10.90625" style="207" customWidth="1"/>
    <col min="23" max="27" width="10.7265625" style="207" customWidth="1"/>
    <col min="28" max="28" width="10.90625" style="207" customWidth="1"/>
    <col min="29" max="29" width="11" style="207" bestFit="1" customWidth="1"/>
    <col min="30" max="30" width="10" style="207" bestFit="1" customWidth="1"/>
    <col min="31" max="31" width="9.7265625" style="207" customWidth="1"/>
    <col min="32" max="46" width="9.453125" style="207" customWidth="1"/>
    <col min="47" max="47" width="18.08984375" style="207" customWidth="1"/>
    <col min="48" max="50" width="9.7265625" style="207" customWidth="1"/>
    <col min="51" max="55" width="10.453125" style="207" bestFit="1" customWidth="1"/>
    <col min="56" max="56" width="9.453125" style="207" bestFit="1" customWidth="1"/>
    <col min="57" max="63" width="9.08984375" style="207" bestFit="1" customWidth="1"/>
    <col min="64" max="64" width="9.453125" style="207" bestFit="1" customWidth="1"/>
    <col min="65" max="65" width="9.08984375" style="207" bestFit="1" customWidth="1"/>
    <col min="66" max="66" width="9.453125" style="207" bestFit="1" customWidth="1"/>
    <col min="67" max="69" width="9.08984375" style="207" bestFit="1" customWidth="1"/>
    <col min="70" max="70" width="9.453125" style="207" bestFit="1" customWidth="1"/>
    <col min="71" max="71" width="9" style="207" customWidth="1"/>
    <col min="72" max="72" width="9.08984375" style="207" bestFit="1" customWidth="1"/>
    <col min="73" max="16384" width="8.90625" style="207"/>
  </cols>
  <sheetData>
    <row r="1" spans="1:72" ht="21">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26">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3">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ht="13"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ht="13">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ht="13">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26">
      <c r="A7" s="203" t="s">
        <v>1297</v>
      </c>
      <c r="B7" s="203" t="s">
        <v>1298</v>
      </c>
      <c r="C7" s="203" t="s">
        <v>1299</v>
      </c>
      <c r="D7" s="2819" t="s">
        <v>3092</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26">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ht="13">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ht="13">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ht="13">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3">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2.5">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2.5">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2.5">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2.5">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2.5">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T9" sqref="T9"/>
    </sheetView>
  </sheetViews>
  <sheetFormatPr defaultColWidth="9.26953125" defaultRowHeight="14"/>
  <cols>
    <col min="1" max="1" width="12.08984375" style="668" customWidth="1"/>
    <col min="2" max="2" width="10.26953125" style="668" customWidth="1"/>
    <col min="3" max="3" width="18.453125" style="668" customWidth="1"/>
    <col min="4" max="4" width="11.6328125" style="668" customWidth="1"/>
    <col min="5" max="5" width="13.36328125" style="668" customWidth="1"/>
    <col min="6" max="8" width="11.453125" style="668" customWidth="1"/>
    <col min="9" max="9" width="11.08984375" style="668" customWidth="1"/>
    <col min="10" max="10" width="3.08984375" style="668" customWidth="1"/>
    <col min="11" max="16" width="10" style="668" customWidth="1"/>
    <col min="17" max="17" width="2.6328125" style="668" customWidth="1"/>
    <col min="18" max="18" width="9.36328125" style="668" bestFit="1" customWidth="1"/>
    <col min="19" max="19" width="10.453125" style="668" bestFit="1" customWidth="1"/>
    <col min="20" max="16384" width="9.26953125" style="668"/>
  </cols>
  <sheetData>
    <row r="1" spans="1:16" ht="18.5" thickBot="1">
      <c r="A1" s="666" t="s">
        <v>1353</v>
      </c>
      <c r="B1" s="667"/>
      <c r="C1" s="667"/>
      <c r="D1" s="667"/>
      <c r="E1" s="667"/>
      <c r="F1" s="667"/>
      <c r="G1" s="667"/>
      <c r="H1" s="667"/>
      <c r="I1" s="667"/>
      <c r="J1" s="667"/>
      <c r="K1" s="667"/>
      <c r="L1" s="667"/>
      <c r="M1" s="667"/>
      <c r="N1" s="667"/>
      <c r="O1" s="667"/>
      <c r="P1" s="667"/>
    </row>
    <row r="2" spans="1:16">
      <c r="A2" s="2917" t="s">
        <v>1354</v>
      </c>
      <c r="B2" s="2917"/>
      <c r="C2" s="2917"/>
      <c r="D2" s="669" t="s">
        <v>1330</v>
      </c>
      <c r="E2" s="670" t="s">
        <v>1331</v>
      </c>
      <c r="F2" s="444"/>
      <c r="G2" s="671"/>
      <c r="H2" s="672"/>
      <c r="I2" s="673" t="s">
        <v>1355</v>
      </c>
      <c r="J2" s="444"/>
      <c r="K2" s="444"/>
      <c r="L2" s="444"/>
      <c r="M2" s="444"/>
      <c r="N2" s="446"/>
      <c r="O2" s="444"/>
      <c r="P2" s="444"/>
    </row>
    <row r="3" spans="1:16" ht="14.5" thickBot="1">
      <c r="A3" s="2918" t="s">
        <v>1328</v>
      </c>
      <c r="B3" s="2918"/>
      <c r="C3" s="2918"/>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c r="A4" s="2919"/>
      <c r="B4" s="2920"/>
      <c r="C4" s="2921"/>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c r="A5" s="675" t="s">
        <v>1332</v>
      </c>
      <c r="B5" s="2922" t="s">
        <v>1333</v>
      </c>
      <c r="C5" s="2922"/>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4.5" thickBot="1">
      <c r="A6" s="682"/>
      <c r="B6" s="2922" t="s">
        <v>1334</v>
      </c>
      <c r="C6" s="2922"/>
      <c r="D6" s="676" t="e">
        <f>ROUND($D$3*E6/$E$3,2)</f>
        <v>#DIV/0!</v>
      </c>
      <c r="E6" s="681">
        <f>E3-E5</f>
        <v>0</v>
      </c>
      <c r="F6" s="444"/>
      <c r="G6" s="683" t="s">
        <v>1335</v>
      </c>
      <c r="H6" s="684" t="s">
        <v>1336</v>
      </c>
      <c r="I6" s="685" t="e">
        <f>ROUND(F31/D31,2)</f>
        <v>#DIV/0!</v>
      </c>
      <c r="J6" s="444"/>
      <c r="K6" s="444"/>
      <c r="L6" s="444"/>
      <c r="M6" s="444"/>
      <c r="N6" s="444"/>
      <c r="O6" s="444"/>
      <c r="P6" s="444"/>
    </row>
    <row r="7" spans="1:16" ht="14.5" thickBot="1">
      <c r="A7" s="2914"/>
      <c r="B7" s="2915"/>
      <c r="C7" s="2916"/>
      <c r="D7" s="678" t="s">
        <v>1330</v>
      </c>
      <c r="E7" s="686" t="s">
        <v>1337</v>
      </c>
      <c r="F7" s="444"/>
      <c r="G7" s="687" t="s">
        <v>1338</v>
      </c>
      <c r="H7" s="688"/>
      <c r="I7" s="689">
        <v>1.29</v>
      </c>
      <c r="J7" s="444"/>
      <c r="K7" s="444"/>
      <c r="L7" s="444"/>
      <c r="M7" s="444"/>
      <c r="N7" s="444"/>
      <c r="O7" s="444"/>
      <c r="P7" s="444"/>
    </row>
    <row r="8" spans="1:16">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c r="A9" s="683"/>
      <c r="B9" s="690"/>
      <c r="C9" s="676" t="s">
        <v>1342</v>
      </c>
      <c r="D9" s="676" t="e">
        <f t="shared" si="0"/>
        <v>#DIV/0!</v>
      </c>
      <c r="E9" s="691">
        <v>0</v>
      </c>
      <c r="F9" s="444"/>
      <c r="G9" s="444"/>
      <c r="H9" s="444"/>
      <c r="I9" s="444"/>
      <c r="J9" s="444"/>
      <c r="K9" s="444"/>
      <c r="L9" s="444"/>
      <c r="M9" s="444"/>
      <c r="N9" s="444"/>
      <c r="O9" s="444"/>
      <c r="P9" s="444"/>
    </row>
    <row r="10" spans="1:16">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4.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4.5" thickBot="1">
      <c r="A16" s="682"/>
      <c r="B16" s="690"/>
      <c r="C16" s="684" t="s">
        <v>1346</v>
      </c>
      <c r="D16" s="684" t="e">
        <f>SUM(D8:D15)</f>
        <v>#DIV/0!</v>
      </c>
      <c r="E16" s="692">
        <f>SUM(E8:E15)</f>
        <v>0</v>
      </c>
      <c r="F16" s="444"/>
      <c r="G16" s="444"/>
      <c r="H16" s="693" t="s">
        <v>1358</v>
      </c>
      <c r="I16" s="694"/>
      <c r="J16" s="667"/>
      <c r="K16" s="2911" t="s">
        <v>1358</v>
      </c>
      <c r="L16" s="2912"/>
      <c r="M16" s="2912"/>
      <c r="N16" s="2912"/>
      <c r="O16" s="2912"/>
      <c r="P16" s="2913"/>
    </row>
    <row r="17" spans="1:19">
      <c r="A17" s="695" t="s">
        <v>1359</v>
      </c>
      <c r="B17" s="696" t="s">
        <v>1360</v>
      </c>
      <c r="C17" s="697" t="s">
        <v>1361</v>
      </c>
      <c r="D17" s="698" t="s">
        <v>1349</v>
      </c>
      <c r="E17" s="699" t="s">
        <v>1350</v>
      </c>
      <c r="F17" s="700"/>
      <c r="G17" s="701"/>
      <c r="H17" s="702" t="s">
        <v>1362</v>
      </c>
      <c r="I17" s="703" t="s">
        <v>1347</v>
      </c>
      <c r="J17" s="667"/>
      <c r="K17" s="2908" t="s">
        <v>1363</v>
      </c>
      <c r="L17" s="2909"/>
      <c r="M17" s="2910"/>
      <c r="N17" s="2908" t="s">
        <v>1364</v>
      </c>
      <c r="O17" s="2909"/>
      <c r="P17" s="2910"/>
      <c r="R17" s="704" t="s">
        <v>1365</v>
      </c>
      <c r="S17" s="705"/>
    </row>
    <row r="18" spans="1:19">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4.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4.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265625" defaultRowHeight="12.5"/>
  <cols>
    <col min="1" max="1" width="20.90625" style="330" customWidth="1"/>
    <col min="2" max="2" width="19.453125" style="269" customWidth="1"/>
    <col min="3" max="3" width="12.7265625" style="269" customWidth="1"/>
    <col min="4" max="4" width="9.08984375" style="331" customWidth="1"/>
    <col min="5" max="5" width="15" style="269" bestFit="1" customWidth="1"/>
    <col min="6" max="10" width="8.90625" style="269" customWidth="1"/>
    <col min="11" max="12" width="12.36328125" style="233" customWidth="1"/>
    <col min="13" max="13" width="13.36328125" style="269" customWidth="1"/>
    <col min="14" max="14" width="11.90625" style="269" customWidth="1"/>
    <col min="15" max="15" width="8.453125" style="269" customWidth="1"/>
    <col min="16" max="17" width="10.90625" style="269" customWidth="1"/>
    <col min="18" max="19" width="12.453125" style="269" customWidth="1"/>
    <col min="20" max="20" width="12.08984375" style="269" customWidth="1"/>
    <col min="21" max="21" width="7.453125" style="269" customWidth="1"/>
    <col min="22" max="22" width="6.36328125" style="269" customWidth="1"/>
    <col min="23" max="30" width="6.7265625" style="269" customWidth="1"/>
    <col min="31" max="31" width="8" style="269" customWidth="1"/>
    <col min="32" max="34" width="7.26953125" style="269" customWidth="1"/>
    <col min="35" max="39" width="8" style="269" customWidth="1"/>
    <col min="40" max="40" width="13.7265625" style="116"/>
    <col min="41" max="41" width="11.6328125" style="116" customWidth="1"/>
    <col min="42" max="42" width="9.7265625" style="116" customWidth="1"/>
    <col min="43" max="67" width="13.7265625" style="116"/>
    <col min="68" max="16384" width="13.7265625" style="269"/>
  </cols>
  <sheetData>
    <row r="1" spans="1:67" ht="18"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5" thickBot="1">
      <c r="A2" s="270" t="s">
        <v>1384</v>
      </c>
      <c r="B2" s="141">
        <f>项目基本情况!D3</f>
        <v>44853</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4.5"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4.5"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43">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4">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4">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4">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4">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4">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4">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4">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4">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4">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28">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4.5"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3.5"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4.5"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4">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4">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4">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4">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4">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4.5"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4.5"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4.5"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28.5">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28.5">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29"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28">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28">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28.5"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4">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4">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4">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4.5"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4">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4">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4">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4.5"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4.5">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4">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4">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4">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4">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4">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4.5"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4">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4.5"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4.5">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5"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4">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28">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4">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4">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4">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4">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4">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4">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4">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4">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4">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4.5"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
  <cols>
    <col min="1" max="1" width="9.453125" style="668" customWidth="1"/>
    <col min="2" max="3" width="24.453125" style="803" customWidth="1"/>
    <col min="4" max="4" width="2.6328125" style="803" customWidth="1"/>
    <col min="5" max="5" width="5.90625" style="803" customWidth="1"/>
    <col min="6" max="7" width="27" style="803" customWidth="1"/>
    <col min="8" max="8" width="11.90625" style="778" customWidth="1"/>
    <col min="9" max="9" width="16.7265625" style="778" customWidth="1"/>
    <col min="10" max="10" width="2.6328125" style="778" customWidth="1"/>
    <col min="11" max="11" width="11.90625" style="778" customWidth="1"/>
    <col min="12" max="12" width="16.7265625" style="778" customWidth="1"/>
    <col min="13" max="13" width="2.6328125" style="778" customWidth="1"/>
    <col min="14" max="14" width="11.90625" style="778" customWidth="1"/>
    <col min="15" max="15" width="16.7265625" style="778" customWidth="1"/>
    <col min="16" max="16" width="2.6328125" style="778" customWidth="1"/>
    <col min="17" max="17" width="11.90625" style="778" customWidth="1"/>
    <col min="18" max="18" width="16.7265625" style="761" customWidth="1"/>
    <col min="19" max="29" width="9" style="761"/>
    <col min="30" max="16384" width="9" style="668"/>
  </cols>
  <sheetData>
    <row r="1" spans="1:29" s="755" customFormat="1" ht="18.5" thickBot="1">
      <c r="A1" s="2923" t="s">
        <v>2548</v>
      </c>
      <c r="B1" s="2924"/>
      <c r="C1" s="2924"/>
      <c r="D1" s="2924"/>
      <c r="E1" s="2924"/>
      <c r="F1" s="2924"/>
      <c r="G1" s="2924"/>
      <c r="H1" s="752"/>
      <c r="I1" s="752"/>
      <c r="J1" s="752"/>
      <c r="K1" s="752"/>
      <c r="L1" s="752"/>
      <c r="M1" s="752"/>
      <c r="N1" s="752"/>
      <c r="O1" s="752"/>
      <c r="P1" s="752"/>
      <c r="Q1" s="753"/>
      <c r="R1" s="754"/>
      <c r="S1" s="754"/>
      <c r="T1" s="754"/>
      <c r="U1" s="754"/>
      <c r="V1" s="754"/>
      <c r="W1" s="754"/>
      <c r="X1" s="754"/>
      <c r="Y1" s="754"/>
      <c r="Z1" s="754"/>
      <c r="AA1" s="754"/>
      <c r="AB1" s="754"/>
      <c r="AC1" s="754"/>
    </row>
    <row r="2" spans="1:29" ht="14.5" thickBot="1">
      <c r="A2" s="756"/>
      <c r="B2" s="757"/>
      <c r="C2" s="758" t="s">
        <v>2543</v>
      </c>
      <c r="D2" s="759"/>
      <c r="E2" s="756"/>
      <c r="F2" s="760"/>
      <c r="G2" s="758" t="s">
        <v>2544</v>
      </c>
      <c r="H2" s="761"/>
      <c r="I2" s="761"/>
      <c r="J2" s="761"/>
      <c r="K2" s="761"/>
      <c r="L2" s="761"/>
      <c r="M2" s="761"/>
      <c r="N2" s="761"/>
      <c r="O2" s="761"/>
      <c r="P2" s="761"/>
      <c r="Q2" s="761"/>
    </row>
    <row r="3" spans="1:29" ht="52">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39">
      <c r="A4" s="766"/>
      <c r="B4" s="434" t="s">
        <v>2516</v>
      </c>
      <c r="C4" s="769" t="s">
        <v>2517</v>
      </c>
      <c r="D4" s="765"/>
      <c r="E4" s="770"/>
      <c r="F4" s="771" t="s">
        <v>2518</v>
      </c>
      <c r="G4" s="769" t="s">
        <v>2519</v>
      </c>
      <c r="H4" s="761"/>
      <c r="I4" s="761"/>
      <c r="J4" s="761"/>
      <c r="K4" s="761"/>
      <c r="L4" s="761"/>
      <c r="M4" s="761"/>
      <c r="N4" s="761"/>
      <c r="O4" s="761"/>
      <c r="P4" s="761"/>
      <c r="Q4" s="761"/>
    </row>
    <row r="5" spans="1:29" ht="39">
      <c r="A5" s="766"/>
      <c r="B5" s="434" t="s">
        <v>2520</v>
      </c>
      <c r="C5" s="769" t="s">
        <v>2521</v>
      </c>
      <c r="D5" s="765"/>
      <c r="E5" s="770"/>
      <c r="F5" s="434" t="s">
        <v>2522</v>
      </c>
      <c r="G5" s="769" t="s">
        <v>2523</v>
      </c>
      <c r="H5" s="761"/>
      <c r="I5" s="761"/>
      <c r="J5" s="761"/>
      <c r="K5" s="761"/>
      <c r="L5" s="761"/>
      <c r="M5" s="761"/>
      <c r="N5" s="761"/>
      <c r="O5" s="761"/>
      <c r="P5" s="761"/>
      <c r="Q5" s="761"/>
    </row>
    <row r="6" spans="1:29" ht="39">
      <c r="A6" s="766"/>
      <c r="B6" s="434" t="s">
        <v>2524</v>
      </c>
      <c r="C6" s="769" t="s">
        <v>2519</v>
      </c>
      <c r="D6" s="765"/>
      <c r="E6" s="770"/>
      <c r="F6" s="434" t="s">
        <v>2525</v>
      </c>
      <c r="G6" s="769" t="s">
        <v>2526</v>
      </c>
      <c r="H6" s="761"/>
      <c r="I6" s="761"/>
      <c r="J6" s="761"/>
      <c r="K6" s="761"/>
      <c r="L6" s="761"/>
      <c r="M6" s="761"/>
      <c r="N6" s="761"/>
      <c r="O6" s="761"/>
      <c r="P6" s="761"/>
      <c r="Q6" s="761"/>
    </row>
    <row r="7" spans="1:29" ht="39.5" thickBot="1">
      <c r="A7" s="766"/>
      <c r="B7" s="434" t="s">
        <v>2522</v>
      </c>
      <c r="C7" s="769" t="s">
        <v>2523</v>
      </c>
      <c r="D7" s="765"/>
      <c r="E7" s="772"/>
      <c r="F7" s="773" t="s">
        <v>2527</v>
      </c>
      <c r="G7" s="774" t="s">
        <v>2528</v>
      </c>
      <c r="H7" s="761"/>
      <c r="I7" s="761"/>
      <c r="J7" s="761"/>
      <c r="K7" s="761"/>
      <c r="L7" s="761"/>
      <c r="M7" s="761"/>
      <c r="N7" s="761"/>
      <c r="O7" s="761"/>
      <c r="P7" s="761"/>
      <c r="Q7" s="761"/>
    </row>
    <row r="8" spans="1:29" ht="26">
      <c r="A8" s="766"/>
      <c r="B8" s="434" t="s">
        <v>2525</v>
      </c>
      <c r="C8" s="769" t="s">
        <v>2526</v>
      </c>
      <c r="D8" s="765"/>
      <c r="E8" s="765"/>
      <c r="F8" s="643"/>
      <c r="G8" s="643"/>
      <c r="H8" s="761"/>
      <c r="I8" s="761"/>
      <c r="J8" s="761"/>
      <c r="K8" s="761"/>
      <c r="L8" s="761"/>
      <c r="M8" s="761"/>
      <c r="N8" s="761"/>
      <c r="O8" s="761"/>
      <c r="P8" s="761"/>
      <c r="Q8" s="761"/>
    </row>
    <row r="9" spans="1:29" ht="26">
      <c r="A9" s="766"/>
      <c r="B9" s="434" t="s">
        <v>2529</v>
      </c>
      <c r="C9" s="769" t="s">
        <v>2530</v>
      </c>
      <c r="D9" s="765"/>
      <c r="E9" s="765"/>
      <c r="F9" s="643"/>
      <c r="G9" s="643"/>
      <c r="H9" s="761"/>
      <c r="I9" s="761"/>
      <c r="J9" s="761"/>
      <c r="K9" s="761"/>
      <c r="L9" s="761"/>
      <c r="M9" s="761"/>
      <c r="N9" s="761"/>
      <c r="O9" s="761"/>
      <c r="P9" s="761"/>
      <c r="Q9" s="761"/>
    </row>
    <row r="10" spans="1:29" ht="14.5" thickBot="1">
      <c r="A10" s="775"/>
      <c r="B10" s="776" t="s">
        <v>2531</v>
      </c>
      <c r="C10" s="777"/>
      <c r="D10" s="765"/>
      <c r="E10" s="765"/>
      <c r="F10" s="643"/>
      <c r="G10" s="643"/>
      <c r="R10" s="778"/>
    </row>
    <row r="11" spans="1:29">
      <c r="A11" s="779"/>
      <c r="B11" s="765"/>
      <c r="C11" s="765"/>
      <c r="D11" s="765"/>
      <c r="E11" s="765"/>
      <c r="F11" s="765"/>
      <c r="G11" s="765"/>
      <c r="R11" s="778"/>
    </row>
    <row r="12" spans="1:29" s="755" customFormat="1" ht="18">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4.5" thickBot="1">
      <c r="A13" s="784" t="s">
        <v>2549</v>
      </c>
      <c r="B13" s="780"/>
      <c r="C13" s="780"/>
      <c r="D13" s="779"/>
      <c r="E13" s="780"/>
      <c r="F13" s="780"/>
      <c r="G13" s="780"/>
    </row>
    <row r="14" spans="1:29" ht="14.5" thickBot="1">
      <c r="A14" s="785"/>
      <c r="B14" s="785"/>
      <c r="C14" s="786" t="s">
        <v>2532</v>
      </c>
      <c r="D14" s="765"/>
      <c r="E14" s="787"/>
      <c r="F14" s="787"/>
      <c r="G14" s="758" t="s">
        <v>2533</v>
      </c>
    </row>
    <row r="15" spans="1:29" ht="50">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37.5">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37.5">
      <c r="A17" s="792"/>
      <c r="B17" s="793" t="s">
        <v>2520</v>
      </c>
      <c r="C17" s="794" t="str">
        <f>C5</f>
        <v>估价对象位于XX商圈，周边办公楼项目较多，入驻率高，办公集聚程度较好</v>
      </c>
      <c r="D17" s="765"/>
      <c r="E17" s="792"/>
      <c r="F17" s="795" t="s">
        <v>2537</v>
      </c>
      <c r="G17" s="796"/>
    </row>
    <row r="18" spans="1:17" ht="37.5">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5">
      <c r="A19" s="792"/>
      <c r="B19" s="795" t="s">
        <v>2538</v>
      </c>
      <c r="C19" s="796"/>
      <c r="D19" s="765"/>
      <c r="E19" s="792"/>
      <c r="F19" s="434" t="s">
        <v>2522</v>
      </c>
      <c r="G19" s="794" t="str">
        <f>G5</f>
        <v>估价对象所在区域公共配套设施齐备情况</v>
      </c>
    </row>
    <row r="20" spans="1:17" ht="25">
      <c r="A20" s="792"/>
      <c r="B20" s="795" t="s">
        <v>2539</v>
      </c>
      <c r="C20" s="794" t="str">
        <f>C9</f>
        <v>区域自然环境：；人文环境；综合评价环境状况一般</v>
      </c>
      <c r="D20" s="765"/>
      <c r="E20" s="792"/>
      <c r="F20" s="434" t="s">
        <v>2525</v>
      </c>
      <c r="G20" s="794" t="str">
        <f>G6</f>
        <v>估价对象所在区域基础设施水平</v>
      </c>
    </row>
    <row r="21" spans="1:17" ht="25">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4.5"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4.5"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4"/>
  <cols>
    <col min="1" max="1" width="25" style="745" customWidth="1"/>
    <col min="2" max="9" width="15.7265625" style="745" customWidth="1"/>
    <col min="10" max="16384" width="9" style="745"/>
  </cols>
  <sheetData>
    <row r="1" spans="1:11" ht="16.5">
      <c r="A1" s="742" t="s">
        <v>878</v>
      </c>
      <c r="B1" s="742">
        <f>SUM(B14:B23)</f>
        <v>0</v>
      </c>
      <c r="C1" s="743"/>
      <c r="D1" s="743"/>
      <c r="E1" s="743"/>
      <c r="F1" s="743"/>
      <c r="G1" s="744"/>
      <c r="H1" s="744"/>
      <c r="I1" s="744"/>
      <c r="J1" s="744"/>
      <c r="K1" s="744"/>
    </row>
    <row r="2" spans="1:11" ht="16.5">
      <c r="A2" s="742" t="s">
        <v>866</v>
      </c>
      <c r="B2" s="742" t="e">
        <f>SUM(C14:C23)</f>
        <v>#DIV/0!</v>
      </c>
      <c r="C2" s="743"/>
      <c r="D2" s="743"/>
      <c r="E2" s="743"/>
      <c r="F2" s="743"/>
      <c r="G2" s="744"/>
      <c r="H2" s="744"/>
      <c r="I2" s="744"/>
      <c r="J2" s="744"/>
      <c r="K2" s="744"/>
    </row>
    <row r="3" spans="1:11" ht="16.5">
      <c r="A3" s="742" t="s">
        <v>875</v>
      </c>
      <c r="B3" s="333">
        <f>项目基本情况!D3</f>
        <v>44853</v>
      </c>
      <c r="C3" s="743"/>
      <c r="D3" s="743"/>
      <c r="E3" s="743"/>
      <c r="F3" s="743"/>
      <c r="G3" s="744"/>
      <c r="H3" s="744"/>
      <c r="I3" s="744"/>
      <c r="J3" s="744"/>
      <c r="K3" s="744"/>
    </row>
    <row r="4" spans="1:11" ht="33">
      <c r="A4" s="742" t="s">
        <v>874</v>
      </c>
      <c r="B4" s="742" t="s">
        <v>873</v>
      </c>
      <c r="C4" s="742" t="s">
        <v>872</v>
      </c>
      <c r="D4" s="742" t="s">
        <v>871</v>
      </c>
      <c r="E4" s="743"/>
      <c r="F4" s="744"/>
      <c r="G4" s="744"/>
      <c r="H4" s="744"/>
      <c r="I4" s="744"/>
      <c r="J4" s="744"/>
      <c r="K4" s="744"/>
    </row>
    <row r="5" spans="1:11" ht="16.5">
      <c r="A5" s="742" t="s">
        <v>870</v>
      </c>
      <c r="B5" s="742" t="e">
        <f ca="1">SUM(D14:D23)</f>
        <v>#REF!</v>
      </c>
      <c r="C5" s="742" t="e">
        <f ca="1">ROUND(B5*10000/$B$1,0)</f>
        <v>#REF!</v>
      </c>
      <c r="D5" s="742" t="e">
        <f ca="1">ROUND(B5*10000/$B$2,0)</f>
        <v>#REF!</v>
      </c>
      <c r="E5" s="743"/>
      <c r="F5" s="744"/>
      <c r="G5" s="744"/>
      <c r="H5" s="744"/>
      <c r="I5" s="744"/>
      <c r="J5" s="744"/>
      <c r="K5" s="744"/>
    </row>
    <row r="6" spans="1:11" ht="16.5">
      <c r="A6" s="742" t="s">
        <v>869</v>
      </c>
      <c r="B6" s="742" t="e">
        <f ca="1">SUM(G14:G23)</f>
        <v>#REF!</v>
      </c>
      <c r="C6" s="742" t="e">
        <f ca="1">ROUND(B6*10000/$B$1,0)</f>
        <v>#REF!</v>
      </c>
      <c r="D6" s="742" t="e">
        <f ca="1">ROUND(B6*10000/$B$2,0)</f>
        <v>#REF!</v>
      </c>
      <c r="E6" s="743"/>
      <c r="F6" s="744"/>
      <c r="G6" s="744"/>
      <c r="H6" s="744"/>
      <c r="I6" s="744"/>
      <c r="J6" s="744"/>
      <c r="K6" s="744"/>
    </row>
    <row r="7" spans="1:11" ht="16.5">
      <c r="A7" s="742" t="s">
        <v>877</v>
      </c>
      <c r="B7" s="742">
        <f>SUM(H14:H23)</f>
        <v>0</v>
      </c>
      <c r="C7" s="742" t="e">
        <f>ROUND(B7*10000/$B$1,0)</f>
        <v>#DIV/0!</v>
      </c>
      <c r="D7" s="742" t="e">
        <f>ROUND(B7*10000/$B$2,0)</f>
        <v>#DIV/0!</v>
      </c>
      <c r="E7" s="743"/>
      <c r="F7" s="744"/>
      <c r="G7" s="744"/>
      <c r="H7" s="744"/>
      <c r="I7" s="744"/>
      <c r="J7" s="744"/>
      <c r="K7" s="744"/>
    </row>
    <row r="8" spans="1:11" ht="16.5">
      <c r="A8" s="742" t="s">
        <v>800</v>
      </c>
      <c r="B8" s="742">
        <f>SUM(I14:I23)</f>
        <v>0</v>
      </c>
      <c r="C8" s="742" t="e">
        <f>ROUND(B8*10000/$B$1,0)</f>
        <v>#DIV/0!</v>
      </c>
      <c r="D8" s="742" t="e">
        <f>ROUND(B8*10000/$B$2,0)</f>
        <v>#DIV/0!</v>
      </c>
      <c r="E8" s="743"/>
      <c r="F8" s="744"/>
      <c r="G8" s="744"/>
      <c r="H8" s="744"/>
      <c r="I8" s="744"/>
      <c r="J8" s="744"/>
      <c r="K8" s="744"/>
    </row>
    <row r="9" spans="1:11" ht="16.5">
      <c r="A9" s="742" t="s">
        <v>868</v>
      </c>
      <c r="B9" s="746"/>
      <c r="C9" s="743"/>
      <c r="D9" s="743"/>
      <c r="E9" s="743"/>
      <c r="F9" s="744"/>
      <c r="G9" s="744"/>
      <c r="H9" s="744"/>
      <c r="I9" s="744"/>
      <c r="J9" s="744"/>
      <c r="K9" s="744"/>
    </row>
    <row r="10" spans="1:11" ht="16.5">
      <c r="A10" s="742" t="s">
        <v>867</v>
      </c>
      <c r="B10" s="746"/>
      <c r="C10" s="743"/>
      <c r="D10" s="743"/>
      <c r="E10" s="743"/>
      <c r="F10" s="744"/>
      <c r="G10" s="744"/>
      <c r="H10" s="744"/>
      <c r="I10" s="744"/>
      <c r="J10" s="744"/>
      <c r="K10" s="744"/>
    </row>
    <row r="11" spans="1:11" ht="16.5">
      <c r="A11" s="742" t="s">
        <v>883</v>
      </c>
      <c r="B11" s="746"/>
      <c r="C11" s="743"/>
      <c r="D11" s="743"/>
      <c r="E11" s="743"/>
      <c r="F11" s="744"/>
      <c r="G11" s="744"/>
      <c r="H11" s="744"/>
      <c r="I11" s="744"/>
      <c r="J11" s="744"/>
      <c r="K11" s="744"/>
    </row>
    <row r="12" spans="1:11" ht="16.5">
      <c r="A12" s="743"/>
      <c r="B12" s="743"/>
      <c r="C12" s="743"/>
      <c r="D12" s="743"/>
      <c r="E12" s="743"/>
      <c r="F12" s="744"/>
      <c r="G12" s="744"/>
      <c r="H12" s="744"/>
      <c r="I12" s="744"/>
      <c r="J12" s="744"/>
      <c r="K12" s="744"/>
    </row>
    <row r="13" spans="1:11" ht="33">
      <c r="A13" s="747" t="s">
        <v>882</v>
      </c>
      <c r="B13" s="748" t="s">
        <v>879</v>
      </c>
      <c r="C13" s="748" t="s">
        <v>881</v>
      </c>
      <c r="D13" s="748" t="s">
        <v>880</v>
      </c>
      <c r="E13" s="742" t="s">
        <v>872</v>
      </c>
      <c r="F13" s="742" t="s">
        <v>871</v>
      </c>
      <c r="G13" s="748" t="s">
        <v>865</v>
      </c>
      <c r="H13" s="748" t="s">
        <v>876</v>
      </c>
      <c r="I13" s="748" t="s">
        <v>864</v>
      </c>
      <c r="J13" s="744"/>
      <c r="K13" s="744"/>
    </row>
    <row r="14" spans="1:11" ht="16.5">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6.5">
      <c r="A15" s="749" t="s">
        <v>862</v>
      </c>
      <c r="B15" s="751"/>
      <c r="C15" s="751"/>
      <c r="D15" s="751"/>
      <c r="E15" s="750" t="e">
        <f t="shared" ref="E15:E23" si="0">ROUND(D15*10000/B15,0)</f>
        <v>#DIV/0!</v>
      </c>
      <c r="F15" s="750" t="e">
        <f t="shared" ref="F15:F23" si="1">ROUND(D15*10000/C15,0)</f>
        <v>#DIV/0!</v>
      </c>
      <c r="G15" s="746"/>
      <c r="H15" s="746"/>
      <c r="I15" s="751"/>
      <c r="J15" s="744"/>
      <c r="K15" s="744"/>
    </row>
    <row r="16" spans="1:11" ht="16.5">
      <c r="A16" s="749" t="s">
        <v>861</v>
      </c>
      <c r="B16" s="751"/>
      <c r="C16" s="751"/>
      <c r="D16" s="751"/>
      <c r="E16" s="750" t="e">
        <f t="shared" si="0"/>
        <v>#DIV/0!</v>
      </c>
      <c r="F16" s="750" t="e">
        <f t="shared" si="1"/>
        <v>#DIV/0!</v>
      </c>
      <c r="G16" s="746"/>
      <c r="H16" s="746"/>
      <c r="I16" s="751"/>
      <c r="J16" s="744"/>
      <c r="K16" s="744"/>
    </row>
    <row r="17" spans="1:11" ht="16.5">
      <c r="A17" s="749" t="s">
        <v>860</v>
      </c>
      <c r="B17" s="751"/>
      <c r="C17" s="751"/>
      <c r="D17" s="751"/>
      <c r="E17" s="750" t="e">
        <f t="shared" si="0"/>
        <v>#DIV/0!</v>
      </c>
      <c r="F17" s="750" t="e">
        <f t="shared" si="1"/>
        <v>#DIV/0!</v>
      </c>
      <c r="G17" s="746"/>
      <c r="H17" s="746"/>
      <c r="I17" s="751"/>
      <c r="J17" s="744"/>
      <c r="K17" s="744"/>
    </row>
    <row r="18" spans="1:11" ht="16.5">
      <c r="A18" s="749" t="s">
        <v>859</v>
      </c>
      <c r="B18" s="751"/>
      <c r="C18" s="751"/>
      <c r="D18" s="751"/>
      <c r="E18" s="750" t="e">
        <f t="shared" si="0"/>
        <v>#DIV/0!</v>
      </c>
      <c r="F18" s="750" t="e">
        <f t="shared" si="1"/>
        <v>#DIV/0!</v>
      </c>
      <c r="G18" s="751"/>
      <c r="H18" s="751"/>
      <c r="I18" s="751"/>
      <c r="J18" s="744"/>
      <c r="K18" s="744"/>
    </row>
    <row r="19" spans="1:11" ht="16.5">
      <c r="A19" s="749" t="s">
        <v>858</v>
      </c>
      <c r="B19" s="751"/>
      <c r="C19" s="751"/>
      <c r="D19" s="751"/>
      <c r="E19" s="750" t="e">
        <f t="shared" si="0"/>
        <v>#DIV/0!</v>
      </c>
      <c r="F19" s="750" t="e">
        <f t="shared" si="1"/>
        <v>#DIV/0!</v>
      </c>
      <c r="G19" s="751"/>
      <c r="H19" s="751"/>
      <c r="I19" s="751"/>
      <c r="J19" s="744"/>
      <c r="K19" s="744"/>
    </row>
    <row r="20" spans="1:11" ht="16.5">
      <c r="A20" s="749" t="s">
        <v>857</v>
      </c>
      <c r="B20" s="751"/>
      <c r="C20" s="751"/>
      <c r="D20" s="751"/>
      <c r="E20" s="750" t="e">
        <f t="shared" si="0"/>
        <v>#DIV/0!</v>
      </c>
      <c r="F20" s="750" t="e">
        <f t="shared" si="1"/>
        <v>#DIV/0!</v>
      </c>
      <c r="G20" s="751"/>
      <c r="H20" s="751"/>
      <c r="I20" s="751"/>
      <c r="J20" s="744"/>
      <c r="K20" s="744"/>
    </row>
    <row r="21" spans="1:11" ht="16.5">
      <c r="A21" s="749" t="s">
        <v>856</v>
      </c>
      <c r="B21" s="751"/>
      <c r="C21" s="751"/>
      <c r="D21" s="751"/>
      <c r="E21" s="750" t="e">
        <f t="shared" si="0"/>
        <v>#DIV/0!</v>
      </c>
      <c r="F21" s="750" t="e">
        <f t="shared" si="1"/>
        <v>#DIV/0!</v>
      </c>
      <c r="G21" s="751"/>
      <c r="H21" s="751"/>
      <c r="I21" s="751"/>
      <c r="J21" s="744"/>
      <c r="K21" s="744"/>
    </row>
    <row r="22" spans="1:11" ht="16.5">
      <c r="A22" s="749" t="s">
        <v>855</v>
      </c>
      <c r="B22" s="751"/>
      <c r="C22" s="751"/>
      <c r="D22" s="751"/>
      <c r="E22" s="750" t="e">
        <f t="shared" si="0"/>
        <v>#DIV/0!</v>
      </c>
      <c r="F22" s="750" t="e">
        <f t="shared" si="1"/>
        <v>#DIV/0!</v>
      </c>
      <c r="G22" s="751"/>
      <c r="H22" s="751"/>
      <c r="I22" s="751"/>
      <c r="J22" s="744"/>
      <c r="K22" s="744"/>
    </row>
    <row r="23" spans="1:11" ht="16.5">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328125" defaultRowHeight="21.75" customHeight="1"/>
  <cols>
    <col min="1" max="2" width="12.6328125" style="810"/>
    <col min="3" max="4" width="12.6328125" style="810" customWidth="1"/>
    <col min="5" max="9" width="12.6328125" style="810"/>
    <col min="10" max="11" width="12.6328125" style="556" customWidth="1"/>
    <col min="12" max="12" width="12.6328125" style="556"/>
    <col min="13" max="13" width="14.08984375" style="556" bestFit="1" customWidth="1"/>
    <col min="14" max="26" width="12.6328125" style="556"/>
    <col min="27" max="35" width="12.6328125" style="809"/>
    <col min="36" max="16384" width="12.63281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57" t="str">
        <f>项目基本情况!S2</f>
        <v>房地产</v>
      </c>
      <c r="B2" s="2958"/>
      <c r="C2" s="2958"/>
      <c r="D2" s="2958"/>
      <c r="E2" s="2958"/>
      <c r="F2" s="2958"/>
      <c r="G2" s="2958"/>
      <c r="H2" s="2958"/>
      <c r="I2" s="2959"/>
    </row>
    <row r="3" spans="1:12" ht="13">
      <c r="A3" s="2961" t="s">
        <v>1488</v>
      </c>
      <c r="B3" s="2962"/>
      <c r="C3" s="2962"/>
      <c r="D3" s="2962"/>
      <c r="E3" s="2962"/>
      <c r="F3" s="2962"/>
      <c r="G3" s="2962"/>
      <c r="H3" s="2962"/>
      <c r="I3" s="2962"/>
    </row>
    <row r="4" spans="1:12" ht="14">
      <c r="A4" s="811" t="s">
        <v>1489</v>
      </c>
      <c r="B4" s="812" t="s">
        <v>1490</v>
      </c>
      <c r="C4" s="813"/>
      <c r="D4" s="813"/>
      <c r="E4" s="2963" t="s">
        <v>1491</v>
      </c>
      <c r="F4" s="2964"/>
      <c r="G4" s="2964"/>
      <c r="H4" s="2964"/>
      <c r="I4" s="2965"/>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2938" t="s">
        <v>1492</v>
      </c>
      <c r="B5" s="2926">
        <v>25</v>
      </c>
      <c r="C5" s="2941"/>
      <c r="D5" s="2960"/>
      <c r="E5" s="814" t="s">
        <v>1493</v>
      </c>
      <c r="F5" s="815"/>
      <c r="G5" s="815"/>
      <c r="H5" s="815"/>
      <c r="I5" s="771"/>
    </row>
    <row r="6" spans="1:12" ht="13">
      <c r="A6" s="2938"/>
      <c r="B6" s="2926"/>
      <c r="C6" s="2942"/>
      <c r="D6" s="2960"/>
      <c r="E6" s="814" t="s">
        <v>1494</v>
      </c>
      <c r="F6" s="815"/>
      <c r="G6" s="815"/>
      <c r="H6" s="815"/>
      <c r="I6" s="771"/>
    </row>
    <row r="7" spans="1:12" ht="13">
      <c r="A7" s="2938"/>
      <c r="B7" s="2926"/>
      <c r="C7" s="2943"/>
      <c r="D7" s="2960"/>
      <c r="E7" s="814" t="s">
        <v>1495</v>
      </c>
      <c r="F7" s="815"/>
      <c r="G7" s="815"/>
      <c r="H7" s="815"/>
      <c r="I7" s="771"/>
    </row>
    <row r="8" spans="1:12" ht="13">
      <c r="A8" s="2938" t="s">
        <v>1496</v>
      </c>
      <c r="B8" s="2926">
        <v>15</v>
      </c>
      <c r="C8" s="2941"/>
      <c r="D8" s="2960"/>
      <c r="E8" s="814" t="s">
        <v>1497</v>
      </c>
      <c r="F8" s="815"/>
      <c r="G8" s="815"/>
      <c r="H8" s="815"/>
      <c r="I8" s="771"/>
    </row>
    <row r="9" spans="1:12" ht="13">
      <c r="A9" s="2938"/>
      <c r="B9" s="2926"/>
      <c r="C9" s="2943"/>
      <c r="D9" s="2960"/>
      <c r="E9" s="814" t="s">
        <v>1498</v>
      </c>
      <c r="F9" s="815"/>
      <c r="G9" s="815"/>
      <c r="H9" s="815"/>
      <c r="I9" s="771"/>
    </row>
    <row r="10" spans="1:12" ht="13">
      <c r="A10" s="2938" t="s">
        <v>1499</v>
      </c>
      <c r="B10" s="2926">
        <v>15</v>
      </c>
      <c r="C10" s="2941"/>
      <c r="D10" s="2960"/>
      <c r="E10" s="814" t="s">
        <v>1500</v>
      </c>
      <c r="F10" s="815"/>
      <c r="G10" s="815"/>
      <c r="H10" s="815"/>
      <c r="I10" s="771"/>
    </row>
    <row r="11" spans="1:12" ht="13">
      <c r="A11" s="2938"/>
      <c r="B11" s="2926"/>
      <c r="C11" s="2943"/>
      <c r="D11" s="2960"/>
      <c r="E11" s="814" t="s">
        <v>1501</v>
      </c>
      <c r="F11" s="815"/>
      <c r="G11" s="815"/>
      <c r="H11" s="815"/>
      <c r="I11" s="771"/>
    </row>
    <row r="12" spans="1:12" ht="13">
      <c r="A12" s="2938" t="s">
        <v>1502</v>
      </c>
      <c r="B12" s="2926">
        <v>15</v>
      </c>
      <c r="C12" s="2941"/>
      <c r="D12" s="2960"/>
      <c r="E12" s="814" t="s">
        <v>1503</v>
      </c>
      <c r="F12" s="815"/>
      <c r="G12" s="815"/>
      <c r="H12" s="815"/>
      <c r="I12" s="771"/>
    </row>
    <row r="13" spans="1:12" ht="13">
      <c r="A13" s="2938"/>
      <c r="B13" s="2926"/>
      <c r="C13" s="2943"/>
      <c r="D13" s="2960"/>
      <c r="E13" s="814" t="s">
        <v>1504</v>
      </c>
      <c r="F13" s="815"/>
      <c r="G13" s="815"/>
      <c r="H13" s="815"/>
      <c r="I13" s="771"/>
    </row>
    <row r="14" spans="1:12" ht="13">
      <c r="A14" s="2938" t="s">
        <v>1505</v>
      </c>
      <c r="B14" s="2926">
        <v>30</v>
      </c>
      <c r="C14" s="2941"/>
      <c r="D14" s="2960"/>
      <c r="E14" s="814" t="s">
        <v>1506</v>
      </c>
      <c r="F14" s="815"/>
      <c r="G14" s="815"/>
      <c r="H14" s="815"/>
      <c r="I14" s="771"/>
    </row>
    <row r="15" spans="1:12" ht="13">
      <c r="A15" s="2938"/>
      <c r="B15" s="2926"/>
      <c r="C15" s="2942"/>
      <c r="D15" s="2960"/>
      <c r="E15" s="814" t="s">
        <v>1507</v>
      </c>
      <c r="F15" s="815"/>
      <c r="G15" s="815"/>
      <c r="H15" s="815"/>
      <c r="I15" s="771"/>
    </row>
    <row r="16" spans="1:12" ht="13">
      <c r="A16" s="2938"/>
      <c r="B16" s="2926"/>
      <c r="C16" s="2943"/>
      <c r="D16" s="2960"/>
      <c r="E16" s="814" t="s">
        <v>1508</v>
      </c>
      <c r="F16" s="815"/>
      <c r="G16" s="815"/>
      <c r="H16" s="815"/>
      <c r="I16" s="771"/>
    </row>
    <row r="17" spans="1:36" ht="14">
      <c r="A17" s="816" t="s">
        <v>1509</v>
      </c>
      <c r="B17" s="705"/>
      <c r="C17" s="817">
        <f>SUM(C5:C16)</f>
        <v>0</v>
      </c>
      <c r="D17" s="817">
        <f>SUM(D5:D16)</f>
        <v>0</v>
      </c>
      <c r="E17" s="643"/>
      <c r="F17" s="643"/>
      <c r="G17" s="643"/>
      <c r="H17" s="643"/>
      <c r="I17" s="643"/>
      <c r="K17" s="818"/>
      <c r="L17" s="818" t="s">
        <v>1510</v>
      </c>
      <c r="M17" s="818" t="s">
        <v>1511</v>
      </c>
    </row>
    <row r="18" spans="1:36" ht="31.9" customHeight="1" thickBot="1">
      <c r="A18" s="819" t="s">
        <v>1512</v>
      </c>
      <c r="B18" s="707"/>
      <c r="C18" s="820" t="e">
        <f>ROUND(C17/SUM(C17:D17),2)</f>
        <v>#DIV/0!</v>
      </c>
      <c r="D18" s="820" t="e">
        <f>1-C18</f>
        <v>#DIV/0!</v>
      </c>
      <c r="E18" s="2948" t="s">
        <v>2389</v>
      </c>
      <c r="F18" s="2949"/>
      <c r="G18" s="2949"/>
      <c r="H18" s="2949"/>
      <c r="I18" s="2949"/>
      <c r="K18" s="818" t="s">
        <v>1513</v>
      </c>
      <c r="L18" s="818">
        <f>IF(C1="",'数据-汇总表'!E3,SUMIF(项目类型,C1,'数据-汇总表'!E17:E26)+SUMIF(项目类型,C1,'数据-汇总表'!I17:I26))</f>
        <v>0</v>
      </c>
      <c r="M18" s="818">
        <f>IF(C1="",'数据-汇总表'!E3,SUMIF(项目类型,C1,'数据-汇总表'!E17:E26))</f>
        <v>0</v>
      </c>
    </row>
    <row r="19" spans="1:36" ht="14">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4">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4.5" thickBot="1">
      <c r="A22" s="837" t="s">
        <v>1522</v>
      </c>
      <c r="B22" s="838"/>
      <c r="C22" s="839"/>
      <c r="D22" s="840" t="e">
        <f ca="1">IF(C19&lt;D19,D19/C19-1,C19/D19-1)</f>
        <v>#REF!</v>
      </c>
      <c r="E22" s="643"/>
      <c r="F22" s="643"/>
      <c r="G22" s="643"/>
      <c r="H22" s="643"/>
      <c r="I22" s="643"/>
    </row>
    <row r="23" spans="1:36" ht="13" thickBot="1">
      <c r="A23" s="804"/>
      <c r="B23" s="804"/>
      <c r="C23" s="804"/>
      <c r="D23" s="804"/>
      <c r="E23" s="643"/>
      <c r="F23" s="643"/>
      <c r="G23" s="643"/>
      <c r="H23" s="643"/>
      <c r="I23" s="643"/>
    </row>
    <row r="24" spans="1:36" ht="14">
      <c r="A24" s="2933" t="s">
        <v>1523</v>
      </c>
      <c r="B24" s="822" t="s">
        <v>1515</v>
      </c>
      <c r="C24" s="825">
        <f>IF(B30=0,0,D30)</f>
        <v>0</v>
      </c>
      <c r="D24" s="841"/>
      <c r="E24" s="643"/>
      <c r="F24" s="643"/>
      <c r="G24" s="643"/>
      <c r="H24" s="643"/>
      <c r="I24" s="643"/>
    </row>
    <row r="25" spans="1:36" ht="14">
      <c r="A25" s="2934"/>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4">
      <c r="A27" s="844"/>
      <c r="B27" s="845">
        <v>0</v>
      </c>
      <c r="C27" s="845">
        <v>0</v>
      </c>
      <c r="D27" s="846">
        <f>ROUND(C27*B27/10000,0)</f>
        <v>0</v>
      </c>
      <c r="E27" s="643"/>
      <c r="F27" s="643"/>
      <c r="G27" s="643"/>
      <c r="H27" s="643"/>
      <c r="I27" s="643"/>
    </row>
    <row r="28" spans="1:36" ht="14">
      <c r="A28" s="844"/>
      <c r="B28" s="845"/>
      <c r="C28" s="845"/>
      <c r="D28" s="846"/>
      <c r="E28" s="643"/>
      <c r="F28" s="643"/>
      <c r="G28" s="643"/>
      <c r="H28" s="643"/>
      <c r="I28" s="643"/>
    </row>
    <row r="29" spans="1:36" ht="14">
      <c r="A29" s="844"/>
      <c r="B29" s="845"/>
      <c r="C29" s="845"/>
      <c r="D29" s="846"/>
      <c r="E29" s="643"/>
      <c r="F29" s="643"/>
      <c r="G29" s="643"/>
      <c r="H29" s="643"/>
      <c r="I29" s="643"/>
    </row>
    <row r="30" spans="1:36" ht="14.5" thickBot="1">
      <c r="A30" s="845" t="s">
        <v>1528</v>
      </c>
      <c r="B30" s="845"/>
      <c r="C30" s="845"/>
      <c r="D30" s="845"/>
      <c r="E30" s="847" t="s">
        <v>2390</v>
      </c>
      <c r="F30" s="643"/>
      <c r="G30" s="643"/>
      <c r="H30" s="643"/>
      <c r="I30" s="643"/>
    </row>
    <row r="31" spans="1:36" s="854" customFormat="1" ht="26.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5" thickTop="1" thickBot="1">
      <c r="A32" s="855" t="s">
        <v>1529</v>
      </c>
      <c r="B32" s="697"/>
      <c r="C32" s="856" t="e">
        <f ca="1">IF(D32="总价",G19-C24,G20-C25)</f>
        <v>#REF!</v>
      </c>
      <c r="D32" s="857"/>
      <c r="E32" s="643"/>
      <c r="F32" s="643"/>
      <c r="G32" s="643"/>
      <c r="H32" s="643"/>
      <c r="I32" s="643"/>
    </row>
    <row r="33" spans="1:15" ht="14">
      <c r="A33" s="858" t="s">
        <v>1530</v>
      </c>
      <c r="B33" s="814"/>
      <c r="C33" s="859"/>
      <c r="D33" s="860"/>
      <c r="E33" s="861" t="s">
        <v>1531</v>
      </c>
      <c r="F33" s="862" t="str">
        <f>IF(D32="楼面单价","取值（单价）","取值（总价）")</f>
        <v>取值（总价）</v>
      </c>
      <c r="G33" s="643"/>
      <c r="H33" s="643"/>
      <c r="I33" s="643"/>
    </row>
    <row r="34" spans="1:15" ht="14">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4.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4.5" thickBot="1">
      <c r="A36" s="2951" t="s">
        <v>1536</v>
      </c>
      <c r="B36" s="873" t="s">
        <v>1537</v>
      </c>
      <c r="C36" s="874"/>
      <c r="D36" s="875"/>
      <c r="E36" s="876"/>
      <c r="F36" s="877"/>
      <c r="G36" s="643"/>
      <c r="H36" s="643"/>
      <c r="I36" s="643"/>
    </row>
    <row r="37" spans="1:15" ht="14.5" thickBot="1">
      <c r="A37" s="2952"/>
      <c r="B37" s="736" t="s">
        <v>1538</v>
      </c>
      <c r="C37" s="878"/>
      <c r="D37" s="667"/>
      <c r="E37" s="667"/>
      <c r="F37" s="877"/>
      <c r="G37" s="643"/>
      <c r="H37" s="643"/>
      <c r="I37" s="643"/>
    </row>
    <row r="38" spans="1:15" ht="14.5" thickBot="1">
      <c r="A38" s="2953"/>
      <c r="B38" s="879" t="s">
        <v>1539</v>
      </c>
      <c r="C38" s="880"/>
      <c r="D38" s="881" t="s">
        <v>1540</v>
      </c>
      <c r="E38" s="667"/>
      <c r="F38" s="877"/>
      <c r="G38" s="643"/>
      <c r="H38" s="643"/>
      <c r="I38" s="643"/>
    </row>
    <row r="39" spans="1:15" ht="14">
      <c r="A39" s="827" t="s">
        <v>1541</v>
      </c>
      <c r="B39" s="882" t="s">
        <v>1542</v>
      </c>
      <c r="C39" s="883" t="s">
        <v>1543</v>
      </c>
      <c r="D39" s="883" t="s">
        <v>1544</v>
      </c>
      <c r="E39" s="884" t="s">
        <v>1545</v>
      </c>
      <c r="F39" s="877"/>
      <c r="G39" s="643"/>
      <c r="H39" s="643"/>
      <c r="I39" s="643"/>
    </row>
    <row r="40" spans="1:15" ht="14">
      <c r="A40" s="885" t="s">
        <v>1546</v>
      </c>
      <c r="B40" s="886"/>
      <c r="C40" s="663"/>
      <c r="D40" s="663"/>
      <c r="E40" s="887"/>
      <c r="F40" s="877"/>
      <c r="G40" s="643"/>
      <c r="H40" s="643"/>
      <c r="I40" s="643"/>
    </row>
    <row r="41" spans="1:15" ht="14">
      <c r="A41" s="885" t="s">
        <v>1547</v>
      </c>
      <c r="B41" s="886"/>
      <c r="C41" s="663"/>
      <c r="D41" s="663"/>
      <c r="E41" s="887"/>
      <c r="F41" s="877"/>
      <c r="G41" s="643"/>
      <c r="H41" s="643"/>
      <c r="I41" s="643"/>
    </row>
    <row r="42" spans="1:15" ht="14.5" thickBot="1">
      <c r="A42" s="888"/>
      <c r="B42" s="889"/>
      <c r="C42" s="890"/>
      <c r="D42" s="890"/>
      <c r="E42" s="872"/>
      <c r="F42" s="877"/>
      <c r="G42" s="643"/>
      <c r="H42" s="643"/>
      <c r="I42" s="643"/>
    </row>
    <row r="43" spans="1:15" ht="12.5">
      <c r="A43" s="891"/>
      <c r="B43" s="891"/>
      <c r="C43" s="891"/>
      <c r="D43" s="891"/>
      <c r="E43" s="891"/>
      <c r="F43" s="892"/>
      <c r="G43" s="892"/>
      <c r="H43" s="892"/>
      <c r="I43" s="893"/>
    </row>
    <row r="44" spans="1:15" ht="18">
      <c r="A44" s="894" t="s">
        <v>1548</v>
      </c>
      <c r="B44" s="895"/>
      <c r="C44" s="895"/>
      <c r="D44" s="896"/>
      <c r="E44" s="896"/>
      <c r="F44" s="897"/>
      <c r="G44" s="897"/>
      <c r="H44" s="897"/>
      <c r="I44" s="897"/>
      <c r="J44" s="898" t="s">
        <v>1549</v>
      </c>
      <c r="K44" s="899"/>
      <c r="L44" s="899"/>
      <c r="M44" s="899"/>
      <c r="N44" s="899"/>
      <c r="O44" s="899"/>
    </row>
    <row r="45" spans="1:15" ht="14.25" customHeight="1" thickBot="1">
      <c r="A45" s="2930" t="s">
        <v>1550</v>
      </c>
      <c r="B45" s="2931"/>
      <c r="C45" s="2932"/>
      <c r="D45" s="900" t="e">
        <f ca="1">ROUND(H101*F45,0)</f>
        <v>#REF!</v>
      </c>
      <c r="E45" s="901" t="s">
        <v>1551</v>
      </c>
      <c r="F45" s="902">
        <v>1</v>
      </c>
      <c r="G45" s="903" t="s">
        <v>1552</v>
      </c>
      <c r="H45" s="643"/>
      <c r="I45" s="643"/>
      <c r="J45" s="3005" t="s">
        <v>1553</v>
      </c>
      <c r="K45" s="3005"/>
      <c r="L45" s="3005"/>
      <c r="M45" s="3005"/>
      <c r="N45" s="3005"/>
      <c r="O45" s="3005"/>
    </row>
    <row r="46" spans="1:15" ht="14.25" customHeight="1">
      <c r="A46" s="2927" t="s">
        <v>1554</v>
      </c>
      <c r="B46" s="2928"/>
      <c r="C46" s="2928"/>
      <c r="D46" s="2928"/>
      <c r="E46" s="2928"/>
      <c r="F46" s="2928"/>
      <c r="G46" s="2929"/>
      <c r="H46" s="644"/>
      <c r="I46" s="644"/>
      <c r="J46" s="473">
        <v>1</v>
      </c>
      <c r="K46" s="2986" t="s">
        <v>1555</v>
      </c>
      <c r="L46" s="2986"/>
      <c r="M46" s="3006"/>
      <c r="N46" s="3006"/>
      <c r="O46" s="3006"/>
    </row>
    <row r="47" spans="1:15" ht="12" customHeight="1">
      <c r="A47" s="904" t="s">
        <v>1556</v>
      </c>
      <c r="B47" s="905"/>
      <c r="C47" s="906"/>
      <c r="D47" s="907" t="s">
        <v>1557</v>
      </c>
      <c r="E47" s="818" t="s">
        <v>1558</v>
      </c>
      <c r="F47" s="908" t="s">
        <v>1559</v>
      </c>
      <c r="G47" s="909" t="s">
        <v>1560</v>
      </c>
      <c r="H47" s="910"/>
      <c r="I47" s="644"/>
      <c r="J47" s="473">
        <v>2</v>
      </c>
      <c r="K47" s="2986" t="s">
        <v>1561</v>
      </c>
      <c r="L47" s="2986"/>
      <c r="M47" s="3007">
        <f>'数据-取费表'!B2</f>
        <v>44853</v>
      </c>
      <c r="N47" s="3007"/>
      <c r="O47" s="3007"/>
    </row>
    <row r="48" spans="1:15" ht="26">
      <c r="A48" s="2956" t="s">
        <v>1562</v>
      </c>
      <c r="B48" s="2940"/>
      <c r="C48" s="2940"/>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86" t="s">
        <v>1564</v>
      </c>
      <c r="L48" s="2986"/>
      <c r="M48" s="3007" t="e">
        <f ca="1">H101</f>
        <v>#REF!</v>
      </c>
      <c r="N48" s="3007"/>
      <c r="O48" s="3007"/>
    </row>
    <row r="49" spans="1:35" ht="25.5" customHeight="1">
      <c r="A49" s="916" t="s">
        <v>1565</v>
      </c>
      <c r="B49" s="2925" t="s">
        <v>1566</v>
      </c>
      <c r="C49" s="2925"/>
      <c r="D49" s="917">
        <v>0</v>
      </c>
      <c r="E49" s="918" t="s">
        <v>1567</v>
      </c>
      <c r="F49" s="919" t="s">
        <v>31</v>
      </c>
      <c r="G49" s="2992"/>
      <c r="H49" s="920" t="s">
        <v>2392</v>
      </c>
      <c r="I49" s="921"/>
      <c r="J49" s="473">
        <v>4</v>
      </c>
      <c r="K49" s="2986" t="str">
        <f>IF(项目基本情况!E8="房地产抵押价值","房地产抵押价值","抵押担保权已注销时的房地产抵押价值")</f>
        <v>抵押担保权已注销时的房地产抵押价值</v>
      </c>
      <c r="L49" s="2986"/>
      <c r="M49" s="3007" t="str">
        <f>IF(项目基本情况!E8="房地产抵押价值",H107,H109)</f>
        <v>——</v>
      </c>
      <c r="N49" s="3007"/>
      <c r="O49" s="3007"/>
    </row>
    <row r="50" spans="1:35" ht="25.5" customHeight="1">
      <c r="A50" s="922"/>
      <c r="B50" s="2925" t="s">
        <v>1568</v>
      </c>
      <c r="C50" s="2925"/>
      <c r="D50" s="923"/>
      <c r="E50" s="924"/>
      <c r="F50" s="919"/>
      <c r="G50" s="2993"/>
      <c r="H50" s="921" t="s">
        <v>2393</v>
      </c>
      <c r="I50" s="921"/>
      <c r="J50" s="3005" t="s">
        <v>1569</v>
      </c>
      <c r="K50" s="3005"/>
      <c r="L50" s="3005"/>
      <c r="M50" s="3005"/>
      <c r="N50" s="3005"/>
      <c r="O50" s="3005"/>
    </row>
    <row r="51" spans="1:35" ht="20.5" customHeight="1">
      <c r="A51" s="925"/>
      <c r="B51" s="2925" t="s">
        <v>1570</v>
      </c>
      <c r="C51" s="2925"/>
      <c r="D51" s="907"/>
      <c r="E51" s="926"/>
      <c r="F51" s="919"/>
      <c r="G51" s="2994"/>
      <c r="H51" s="921" t="s">
        <v>2394</v>
      </c>
      <c r="I51" s="921"/>
      <c r="J51" s="927" t="s">
        <v>1571</v>
      </c>
      <c r="K51" s="2986" t="s">
        <v>1572</v>
      </c>
      <c r="L51" s="2986"/>
      <c r="M51" s="927" t="s">
        <v>1573</v>
      </c>
      <c r="N51" s="927" t="s">
        <v>1574</v>
      </c>
      <c r="O51" s="927" t="s">
        <v>1575</v>
      </c>
    </row>
    <row r="52" spans="1:35" ht="24" customHeight="1">
      <c r="A52" s="928" t="s">
        <v>1576</v>
      </c>
      <c r="B52" s="2925" t="s">
        <v>1577</v>
      </c>
      <c r="C52" s="2925"/>
      <c r="D52" s="907" t="e">
        <f ca="1">ROUND(D45*'数据-取费表'!B41/(1+'数据-取费表'!C42),0)</f>
        <v>#REF!</v>
      </c>
      <c r="E52" s="912" t="s">
        <v>1578</v>
      </c>
      <c r="F52" s="818">
        <f>'数据-取费表'!B41</f>
        <v>0</v>
      </c>
      <c r="G52" s="909"/>
      <c r="H52" s="910"/>
      <c r="I52" s="644"/>
      <c r="J52" s="473">
        <v>1</v>
      </c>
      <c r="K52" s="2987" t="s">
        <v>1579</v>
      </c>
      <c r="L52" s="2987"/>
      <c r="M52" s="929" t="b">
        <f>D48</f>
        <v>0</v>
      </c>
      <c r="N52" s="473" t="str">
        <f>E48</f>
        <v>销售额×税（费）率</v>
      </c>
      <c r="O52" s="930">
        <f>F48</f>
        <v>0</v>
      </c>
    </row>
    <row r="53" spans="1:35" ht="12" customHeight="1">
      <c r="A53" s="928" t="s">
        <v>1580</v>
      </c>
      <c r="B53" s="2935" t="s">
        <v>2553</v>
      </c>
      <c r="C53" s="2950"/>
      <c r="D53" s="907" t="e">
        <f ca="1">ROUND(D45*'数据-取费表'!B41/(1+'数据-取费表'!C42),0)</f>
        <v>#REF!</v>
      </c>
      <c r="E53" s="912" t="s">
        <v>1578</v>
      </c>
      <c r="F53" s="818">
        <f>'数据-取费表'!B41</f>
        <v>0</v>
      </c>
      <c r="G53" s="909"/>
      <c r="H53" s="910"/>
      <c r="I53" s="644"/>
      <c r="J53" s="473">
        <v>2</v>
      </c>
      <c r="K53" s="2987" t="s">
        <v>1581</v>
      </c>
      <c r="L53" s="2987"/>
      <c r="M53" s="929" t="e">
        <f t="shared" ref="M53:O54" ca="1" si="0">D55</f>
        <v>#REF!</v>
      </c>
      <c r="N53" s="473" t="str">
        <f t="shared" si="0"/>
        <v>销售额×税（费）率</v>
      </c>
      <c r="O53" s="930" t="str">
        <f t="shared" si="0"/>
        <v>免征</v>
      </c>
    </row>
    <row r="54" spans="1:35" ht="12" customHeight="1">
      <c r="A54" s="928" t="s">
        <v>1582</v>
      </c>
      <c r="B54" s="2935" t="s">
        <v>2554</v>
      </c>
      <c r="C54" s="2950"/>
      <c r="D54" s="907" t="e">
        <f ca="1">C68</f>
        <v>#REF!</v>
      </c>
      <c r="E54" s="926" t="s">
        <v>1583</v>
      </c>
      <c r="F54" s="818">
        <f>'数据-取费表'!B41</f>
        <v>0</v>
      </c>
      <c r="G54" s="909"/>
      <c r="H54" s="931"/>
      <c r="I54" s="644"/>
      <c r="J54" s="473">
        <v>3</v>
      </c>
      <c r="K54" s="2987" t="s">
        <v>1584</v>
      </c>
      <c r="L54" s="2987"/>
      <c r="M54" s="929" t="e">
        <f t="shared" ca="1" si="0"/>
        <v>#REF!</v>
      </c>
      <c r="N54" s="473" t="str">
        <f t="shared" si="0"/>
        <v>增值额×税（费）率</v>
      </c>
      <c r="O54" s="930" t="str">
        <f t="shared" si="0"/>
        <v>免征</v>
      </c>
    </row>
    <row r="55" spans="1:35" ht="24" customHeight="1">
      <c r="A55" s="2939" t="s">
        <v>1585</v>
      </c>
      <c r="B55" s="2940"/>
      <c r="C55" s="2940"/>
      <c r="D55" s="911" t="e">
        <f ca="1">IF(H55="个人住宅",0,ROUND(D45*I55,0))</f>
        <v>#REF!</v>
      </c>
      <c r="E55" s="912" t="s">
        <v>1586</v>
      </c>
      <c r="F55" s="818" t="str">
        <f>IF(H55="正常",I55,"免征")</f>
        <v>免征</v>
      </c>
      <c r="G55" s="909"/>
      <c r="H55" s="915"/>
      <c r="I55" s="932">
        <f>'数据-取费表'!B49</f>
        <v>0</v>
      </c>
      <c r="J55" s="473">
        <f>IF(H59="非个人房产","",4)</f>
        <v>4</v>
      </c>
      <c r="K55" s="2987" t="str">
        <f>IF(H59="非个人房产","——","个人所得税")</f>
        <v>个人所得税</v>
      </c>
      <c r="L55" s="2987"/>
      <c r="M55" s="933" t="e">
        <f ca="1">D59</f>
        <v>#REF!</v>
      </c>
      <c r="N55" s="934" t="str">
        <f>E59</f>
        <v>差额计税</v>
      </c>
      <c r="O55" s="935">
        <f>F59</f>
        <v>0.01</v>
      </c>
    </row>
    <row r="56" spans="1:35" ht="26">
      <c r="A56" s="2939" t="s">
        <v>1587</v>
      </c>
      <c r="B56" s="2940"/>
      <c r="C56" s="2940"/>
      <c r="D56" s="911" t="e">
        <f ca="1">IF(H56="个人住宅",D57,D58)</f>
        <v>#REF!</v>
      </c>
      <c r="E56" s="912" t="s">
        <v>1588</v>
      </c>
      <c r="F56" s="818" t="str">
        <f>IF(H56="正常",F58,"免征")</f>
        <v>免征</v>
      </c>
      <c r="G56" s="936" t="s">
        <v>1589</v>
      </c>
      <c r="H56" s="937"/>
      <c r="I56" s="938"/>
      <c r="J56" s="473" t="str">
        <f>IF(项目基本情况!K6="上海银行",IF(J55="",4,J55+1),"")</f>
        <v/>
      </c>
      <c r="K56" s="3009" t="str">
        <f>IF(项目基本情况!K6="上海银行","其他处置费用","")</f>
        <v/>
      </c>
      <c r="L56" s="3010"/>
      <c r="M56" s="929" t="str">
        <f>IF(项目基本情况!K6="上海银行",M69,"")</f>
        <v/>
      </c>
      <c r="N56" s="3009" t="str">
        <f>IF(项目基本情况!K6="上海银行","包含处置中涉及的律师、诉讼、拍卖、评估等费用","")</f>
        <v/>
      </c>
      <c r="O56" s="3012"/>
    </row>
    <row r="57" spans="1:35" ht="13">
      <c r="A57" s="928" t="s">
        <v>1565</v>
      </c>
      <c r="B57" s="2935" t="s">
        <v>1590</v>
      </c>
      <c r="C57" s="2950"/>
      <c r="D57" s="917">
        <v>0</v>
      </c>
      <c r="E57" s="918" t="s">
        <v>1567</v>
      </c>
      <c r="F57" s="818"/>
      <c r="G57" s="909"/>
      <c r="H57" s="939"/>
      <c r="I57" s="938"/>
      <c r="J57" s="2987">
        <f>IF(AND(J55="",J56=""),4,IF(项目基本情况!K6="上海银行",结果表!J56+1,结果表!J55+1))</f>
        <v>5</v>
      </c>
      <c r="K57" s="2987" t="s">
        <v>1591</v>
      </c>
      <c r="L57" s="940" t="s">
        <v>1592</v>
      </c>
      <c r="M57" s="941"/>
      <c r="N57" s="942">
        <f ca="1">SUMIF(M52:M56,"&lt;9e307")</f>
        <v>0</v>
      </c>
      <c r="O57" s="943"/>
      <c r="P57" s="643" t="e">
        <f ca="1">N57/M49</f>
        <v>#VALUE!</v>
      </c>
    </row>
    <row r="58" spans="1:35" ht="26">
      <c r="A58" s="928" t="s">
        <v>1576</v>
      </c>
      <c r="B58" s="2935" t="s">
        <v>1593</v>
      </c>
      <c r="C58" s="2925"/>
      <c r="D58" s="911" t="e">
        <f ca="1">IF(H58="转让取得",C81,C97)</f>
        <v>#REF!</v>
      </c>
      <c r="E58" s="912" t="s">
        <v>1588</v>
      </c>
      <c r="F58" s="818" t="s">
        <v>31</v>
      </c>
      <c r="G58" s="909"/>
      <c r="H58" s="937"/>
      <c r="I58" s="938"/>
      <c r="J58" s="2987"/>
      <c r="K58" s="2987"/>
      <c r="L58" s="940" t="s">
        <v>1594</v>
      </c>
      <c r="M58" s="944"/>
      <c r="N58" s="945" t="str">
        <f ca="1">NUMBERSTRING(INT(N57*10000),2)&amp;"元整"</f>
        <v>零元整</v>
      </c>
      <c r="O58" s="946"/>
    </row>
    <row r="59" spans="1:35" ht="26.5" thickBot="1">
      <c r="A59" s="2990" t="s">
        <v>1595</v>
      </c>
      <c r="B59" s="2991"/>
      <c r="C59" s="2991"/>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88">
        <f>J57+1</f>
        <v>6</v>
      </c>
      <c r="K59" s="2987" t="s">
        <v>1596</v>
      </c>
      <c r="L59" s="473" t="s">
        <v>1592</v>
      </c>
      <c r="M59" s="953"/>
      <c r="N59" s="954" t="e">
        <f ca="1">M49-N57</f>
        <v>#VALUE!</v>
      </c>
      <c r="O59" s="955"/>
    </row>
    <row r="60" spans="1:35" ht="12" customHeight="1">
      <c r="A60" s="956"/>
      <c r="B60" s="804"/>
      <c r="C60" s="804"/>
      <c r="D60" s="804"/>
      <c r="E60" s="957"/>
      <c r="F60" s="938"/>
      <c r="G60" s="938"/>
      <c r="H60" s="644"/>
      <c r="I60" s="643"/>
      <c r="J60" s="2989"/>
      <c r="K60" s="2987"/>
      <c r="L60" s="940" t="s">
        <v>1594</v>
      </c>
      <c r="M60" s="944"/>
      <c r="N60" s="945" t="e">
        <f ca="1">NUMBERSTRING(INT(N59*10000),2)&amp;"元整"</f>
        <v>#VALUE!</v>
      </c>
      <c r="O60" s="946"/>
    </row>
    <row r="61" spans="1:35" ht="13.5" thickBot="1">
      <c r="A61" s="2937" t="s">
        <v>1597</v>
      </c>
      <c r="B61" s="2937"/>
      <c r="C61" s="2937"/>
      <c r="D61" s="2937"/>
      <c r="E61" s="2937"/>
      <c r="F61" s="938"/>
      <c r="G61" s="938"/>
      <c r="H61" s="644"/>
      <c r="I61" s="643"/>
      <c r="J61" s="473">
        <f>J59+1</f>
        <v>7</v>
      </c>
      <c r="K61" s="2987" t="s">
        <v>1598</v>
      </c>
      <c r="L61" s="2987"/>
      <c r="M61" s="958"/>
      <c r="N61" s="959" t="e">
        <f ca="1">ROUND(N59*10000/'数据-汇总表'!E3,0)</f>
        <v>#VALUE!</v>
      </c>
      <c r="O61" s="960"/>
    </row>
    <row r="62" spans="1:35" ht="13">
      <c r="A62" s="2954" t="s">
        <v>1599</v>
      </c>
      <c r="B62" s="2955"/>
      <c r="C62" s="961"/>
      <c r="D62" s="961" t="s">
        <v>1600</v>
      </c>
      <c r="E62" s="962" t="s">
        <v>1601</v>
      </c>
      <c r="F62" s="938"/>
      <c r="G62" s="938"/>
      <c r="H62" s="644"/>
      <c r="I62" s="643"/>
    </row>
    <row r="63" spans="1:35" ht="13">
      <c r="A63" s="963" t="s">
        <v>538</v>
      </c>
      <c r="B63" s="964" t="s">
        <v>1602</v>
      </c>
      <c r="C63" s="964" t="e">
        <f ca="1">ROUND((C64+C65)/(1+'数据-取费表'!C42),0)</f>
        <v>#REF!</v>
      </c>
      <c r="D63" s="964"/>
      <c r="E63" s="965"/>
      <c r="F63" s="938"/>
      <c r="G63" s="938"/>
      <c r="H63" s="644"/>
      <c r="I63" s="643"/>
      <c r="J63" s="3011" t="s">
        <v>1603</v>
      </c>
      <c r="K63" s="966" t="s">
        <v>1604</v>
      </c>
      <c r="L63" s="966" t="e">
        <f>IF(M49&gt;10000,M49*0.5%,IF(AND(M49&gt;1000,M49&lt;=10000),M49*1%,IF(AND(M49&gt;100,M49&lt;=1000),M49*3%,IF(AND(M49&gt;10,M49&lt;=100),M49*5%,M49*8%))))</f>
        <v>#VALUE!</v>
      </c>
      <c r="M63" s="818" t="e">
        <f>ROUND(L63,1)</f>
        <v>#VALUE!</v>
      </c>
      <c r="N63" s="967"/>
      <c r="Z63" s="809"/>
      <c r="AI63" s="810"/>
    </row>
    <row r="64" spans="1:35" ht="14.25" customHeight="1">
      <c r="A64" s="928" t="s">
        <v>533</v>
      </c>
      <c r="B64" s="447" t="s">
        <v>1605</v>
      </c>
      <c r="C64" s="447" t="e">
        <f ca="1">D45</f>
        <v>#REF!</v>
      </c>
      <c r="D64" s="447" t="s">
        <v>29</v>
      </c>
      <c r="E64" s="968"/>
      <c r="F64" s="938"/>
      <c r="G64" s="938"/>
      <c r="H64" s="644"/>
      <c r="I64" s="643"/>
      <c r="J64" s="3011"/>
      <c r="K64" s="966" t="s">
        <v>1606</v>
      </c>
      <c r="L64" s="966" t="e">
        <f>IF(M49&gt;2000,M49*0.5%,IF(AND(M49&gt;1000,M49&lt;=2000),M49*0.6%,IF(AND(M49&gt;500,M49&lt;=1000),M49*0.7%,IF(AND(M49&gt;200,M49&lt;=500),M49*0.8%,IF(AND(M49&gt;100,M49&lt;=200),M49*0.9%,IF(AND(M49&gt;50,M49&lt;=100),M49*1%,IF(AND(M49&gt;20,M49&lt;=50),M49*1.5%,IF(AND(M49&gt;10,M49&lt;=20),M49*2%,IF(AND(M49&gt;1,M49&lt;=10),M49*2.5%)))))))))</f>
        <v>#VALUE!</v>
      </c>
      <c r="M64" s="818" t="e">
        <f t="shared" ref="M64:M65" si="1">ROUND(L64,1)</f>
        <v>#VALUE!</v>
      </c>
      <c r="N64" s="910" t="s">
        <v>1607</v>
      </c>
      <c r="Z64" s="809"/>
      <c r="AI64" s="810"/>
    </row>
    <row r="65" spans="1:35" ht="14.25" customHeight="1">
      <c r="A65" s="928" t="s">
        <v>534</v>
      </c>
      <c r="B65" s="447" t="s">
        <v>1608</v>
      </c>
      <c r="C65" s="969"/>
      <c r="D65" s="447"/>
      <c r="E65" s="968"/>
      <c r="F65" s="938"/>
      <c r="G65" s="938"/>
      <c r="H65" s="644"/>
      <c r="I65" s="643"/>
      <c r="J65" s="3011"/>
      <c r="K65" s="966" t="s">
        <v>1609</v>
      </c>
      <c r="L65" s="966" t="e">
        <f>IF(M49&gt;1000,M49*0.1%,IF(AND(M49&gt;500,M49&lt;=1000),M49*0.5%,IF(AND(M49&gt;50,M49&lt;=500),M49*1%,IF(AND(M49&gt;1,M49&lt;=50),M49*1.5%))))</f>
        <v>#VALUE!</v>
      </c>
      <c r="M65" s="818" t="e">
        <f t="shared" si="1"/>
        <v>#VALUE!</v>
      </c>
      <c r="N65" s="910" t="s">
        <v>1607</v>
      </c>
      <c r="Z65" s="809"/>
      <c r="AI65" s="810"/>
    </row>
    <row r="66" spans="1:35" ht="14.25" customHeight="1">
      <c r="A66" s="963" t="s">
        <v>535</v>
      </c>
      <c r="B66" s="469" t="s">
        <v>1610</v>
      </c>
      <c r="C66" s="970"/>
      <c r="D66" s="469" t="s">
        <v>29</v>
      </c>
      <c r="E66" s="971" t="s">
        <v>884</v>
      </c>
      <c r="F66" s="938"/>
      <c r="G66" s="938"/>
      <c r="H66" s="644"/>
      <c r="I66" s="643"/>
      <c r="J66" s="3011"/>
      <c r="K66" s="966" t="s">
        <v>1611</v>
      </c>
      <c r="L66" s="966" t="e">
        <f>M49*0.5%</f>
        <v>#VALUE!</v>
      </c>
      <c r="M66" s="818" t="e">
        <f>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3011"/>
      <c r="K67" s="966" t="s">
        <v>1614</v>
      </c>
      <c r="L67" s="966" t="e">
        <f>IF(M49&gt;=10000,(8.25+(M49-10000)*0.01%),IF(AND(M49&gt;=8000,M49&lt;10000),(7.85+(M49-8000)*0.02%),IF(AND(M49&gt;=5000,M49&lt;8000),(6.65+(M49-5000)*0.04%),IF(AND(M49&gt;=2000,M49&lt;5000),(4.25+(PM49-2000)*0.08%),IF(AND(M49&gt;=1000,M49&lt;2000),(2.75+(M49-1000)*0.15%),IF(AND(M49&gt;=100,M49&lt;1000),(0.5+(M49-100)*0.25%),IF(AND(M49&gt;0,M49&lt;100),M49*0.5%)))))))</f>
        <v>#VALUE!</v>
      </c>
      <c r="M67" s="818" t="e">
        <f>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3011"/>
      <c r="K68" s="966" t="s">
        <v>1616</v>
      </c>
      <c r="L68" s="966" t="e">
        <f>IF(M49&gt;10000,M49*0.5%,IF(AND(M49&gt;5000,M49&lt;=10000),M49*1%,IF(AND(M49&gt;1000,M49&lt;=5000),M49*2%,IF(AND(M49&gt;200,M49&lt;=1000),M49*3%,M49*5%))))</f>
        <v>#VALUE!</v>
      </c>
      <c r="M68" s="818" t="e">
        <f>ROUND(L68,1)</f>
        <v>#VALUE!</v>
      </c>
      <c r="N68" s="967"/>
      <c r="Z68" s="809"/>
      <c r="AI68" s="810"/>
    </row>
    <row r="69" spans="1:35" ht="16.5" customHeight="1">
      <c r="A69" s="904"/>
      <c r="B69" s="974"/>
      <c r="C69" s="975"/>
      <c r="D69" s="976"/>
      <c r="E69" s="977"/>
      <c r="F69" s="957"/>
      <c r="G69" s="957"/>
      <c r="H69" s="891"/>
      <c r="I69" s="804"/>
      <c r="J69" s="3011"/>
      <c r="K69" s="966" t="s">
        <v>1617</v>
      </c>
      <c r="L69" s="966"/>
      <c r="M69" s="818" t="e">
        <f>ROUND(SUM(M63:M68),0)</f>
        <v>#VALUE!</v>
      </c>
      <c r="N69" s="977" t="e">
        <f>M69/M49</f>
        <v>#VALUE!</v>
      </c>
      <c r="Z69" s="809"/>
      <c r="AI69" s="810"/>
    </row>
    <row r="70" spans="1:35" s="982" customFormat="1" ht="14.5" thickBot="1">
      <c r="A70" s="2974" t="s">
        <v>1618</v>
      </c>
      <c r="B70" s="2975"/>
      <c r="C70" s="2975"/>
      <c r="D70" s="2975"/>
      <c r="E70" s="2975"/>
      <c r="F70" s="2975"/>
      <c r="G70" s="2975"/>
      <c r="H70" s="2975"/>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4">
      <c r="A71" s="2954" t="s">
        <v>1599</v>
      </c>
      <c r="B71" s="2955"/>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4">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4">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26">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14">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35" t="s">
        <v>1626</v>
      </c>
      <c r="F76" s="2925"/>
      <c r="G76" s="2925"/>
      <c r="H76" s="2944"/>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35" t="s">
        <v>1630</v>
      </c>
      <c r="F78" s="2925"/>
      <c r="G78" s="2925"/>
      <c r="H78" s="2944"/>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4">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26">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26.5"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4.5" thickBot="1">
      <c r="A83" s="2974" t="s">
        <v>1634</v>
      </c>
      <c r="B83" s="2975"/>
      <c r="C83" s="2975"/>
      <c r="D83" s="2975"/>
      <c r="E83" s="2975"/>
      <c r="F83" s="2975"/>
      <c r="G83" s="2975"/>
      <c r="H83" s="2975"/>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4">
      <c r="A84" s="2954" t="s">
        <v>1599</v>
      </c>
      <c r="B84" s="2955"/>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4">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4">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4">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4">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4">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4">
      <c r="A90" s="928" t="s">
        <v>534</v>
      </c>
      <c r="B90" s="447" t="s">
        <v>1640</v>
      </c>
      <c r="C90" s="969"/>
      <c r="D90" s="999"/>
      <c r="E90" s="911" t="str">
        <f>IF(H88="-","土地取得成本中已包含该笔费用"," ")</f>
        <v xml:space="preserve"> </v>
      </c>
      <c r="F90" s="988"/>
      <c r="G90" s="3013" t="s">
        <v>2387</v>
      </c>
      <c r="H90" s="2940"/>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35" t="s">
        <v>1643</v>
      </c>
      <c r="F91" s="2925"/>
      <c r="G91" s="2925"/>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35" t="s">
        <v>1646</v>
      </c>
      <c r="F92" s="2925"/>
      <c r="G92" s="2925"/>
      <c r="H92" s="2944"/>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35" t="s">
        <v>1630</v>
      </c>
      <c r="F93" s="2925"/>
      <c r="G93" s="2925"/>
      <c r="H93" s="2944"/>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2945" t="s">
        <v>1650</v>
      </c>
      <c r="F94" s="2946"/>
      <c r="G94" s="2946"/>
      <c r="H94" s="2947"/>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4">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26">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26.5"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9" t="s">
        <v>1652</v>
      </c>
      <c r="B100" s="2920"/>
      <c r="C100" s="2920"/>
      <c r="D100" s="2936"/>
      <c r="E100" s="2920" t="s">
        <v>1653</v>
      </c>
      <c r="F100" s="2920"/>
      <c r="G100" s="2920"/>
      <c r="H100" s="2936"/>
      <c r="I100" s="643"/>
    </row>
    <row r="101" spans="1:35" ht="18.75" customHeight="1">
      <c r="A101" s="2995" t="s">
        <v>1654</v>
      </c>
      <c r="B101" s="2996"/>
      <c r="C101" s="1018">
        <f>C4</f>
        <v>0</v>
      </c>
      <c r="D101" s="1019">
        <f>D4</f>
        <v>0</v>
      </c>
      <c r="E101" s="3008" t="s">
        <v>1655</v>
      </c>
      <c r="F101" s="2967"/>
      <c r="G101" s="1020" t="s">
        <v>1656</v>
      </c>
      <c r="H101" s="1021" t="e">
        <f ca="1">H118</f>
        <v>#REF!</v>
      </c>
      <c r="I101" s="643"/>
    </row>
    <row r="102" spans="1:35" ht="18.75" customHeight="1">
      <c r="A102" s="2969" t="s">
        <v>1657</v>
      </c>
      <c r="B102" s="1022" t="s">
        <v>1656</v>
      </c>
      <c r="C102" s="1018" t="e">
        <f ca="1">C19</f>
        <v>#REF!</v>
      </c>
      <c r="D102" s="1019" t="e">
        <f ca="1">D19</f>
        <v>#REF!</v>
      </c>
      <c r="E102" s="3008"/>
      <c r="F102" s="2967"/>
      <c r="G102" s="1020" t="s">
        <v>1658</v>
      </c>
      <c r="H102" s="909" t="e">
        <f ca="1">I118</f>
        <v>#REF!</v>
      </c>
      <c r="I102" s="643"/>
    </row>
    <row r="103" spans="1:35" ht="42.75" customHeight="1">
      <c r="A103" s="2969"/>
      <c r="B103" s="1022" t="s">
        <v>1658</v>
      </c>
      <c r="C103" s="1023" t="e">
        <f ca="1">C20</f>
        <v>#REF!</v>
      </c>
      <c r="D103" s="1024" t="e">
        <f ca="1">D20</f>
        <v>#REF!</v>
      </c>
      <c r="E103" s="3003" t="s">
        <v>1659</v>
      </c>
      <c r="F103" s="3004"/>
      <c r="G103" s="1025" t="s">
        <v>1660</v>
      </c>
      <c r="H103" s="1021">
        <f>IF(D36="正常操作",H104+H105+H106,H105+H106)</f>
        <v>0</v>
      </c>
      <c r="I103" s="643"/>
    </row>
    <row r="104" spans="1:35" ht="18.75" customHeight="1">
      <c r="A104" s="2969"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70"/>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66" t="str">
        <f>IF(项目基本情况!E8="已注销","——","3.房地产抵押价值")</f>
        <v>3.房地产抵押价值</v>
      </c>
      <c r="F107" s="2967"/>
      <c r="G107" s="1020" t="s">
        <v>1656</v>
      </c>
      <c r="H107" s="1021" t="e">
        <f ca="1">IF(E107="——","——",H101-H103)</f>
        <v>#REF!</v>
      </c>
      <c r="I107" s="643"/>
    </row>
    <row r="108" spans="1:35" ht="18.75" customHeight="1">
      <c r="A108" s="643"/>
      <c r="B108" s="643"/>
      <c r="C108" s="643"/>
      <c r="D108" s="643"/>
      <c r="E108" s="2966"/>
      <c r="F108" s="2967"/>
      <c r="G108" s="1020" t="s">
        <v>1658</v>
      </c>
      <c r="H108" s="909" t="e">
        <f ca="1">ROUND(H107*10000/'数据-汇总表'!E3,0)</f>
        <v>#REF!</v>
      </c>
      <c r="I108" s="643"/>
    </row>
    <row r="109" spans="1:35" ht="18.75" customHeight="1">
      <c r="A109" s="643"/>
      <c r="B109" s="643"/>
      <c r="C109" s="643"/>
      <c r="D109" s="643"/>
      <c r="E109" s="2966" t="str">
        <f>IF(项目基本情况!E8="已注销及未注销","4.抵押担保权已注销时的房地产抵押价值",IF(项目基本情况!E8="已注销","3.抵押担保权已注销时的房地产抵押价值","——"))</f>
        <v>——</v>
      </c>
      <c r="F109" s="2967"/>
      <c r="G109" s="1020" t="s">
        <v>1656</v>
      </c>
      <c r="H109" s="1035" t="str">
        <f>IF(E109="——","——",H101-H105-H106)</f>
        <v>——</v>
      </c>
      <c r="I109" s="643"/>
    </row>
    <row r="110" spans="1:35" ht="18.75" customHeight="1">
      <c r="A110" s="643"/>
      <c r="B110" s="643"/>
      <c r="C110" s="643"/>
      <c r="D110" s="643"/>
      <c r="E110" s="2966"/>
      <c r="F110" s="2967"/>
      <c r="G110" s="1020" t="s">
        <v>1658</v>
      </c>
      <c r="H110" s="909" t="str">
        <f>IF(H109="——","——",ROUND(H109*10000/'数据-汇总表'!E3,0))</f>
        <v>——</v>
      </c>
      <c r="I110" s="643"/>
    </row>
    <row r="111" spans="1:35" ht="18.75" customHeight="1">
      <c r="A111" s="643"/>
      <c r="B111" s="643"/>
      <c r="C111" s="643"/>
      <c r="D111" s="643"/>
      <c r="E111" s="2997" t="str">
        <f>IF(项目基本情况!E9="抵押净值",IF(OR(项目基本情况!E8="已注销",项目基本情况!E8="房地产抵押价值"),"4.抵押净值","5.抵押净值"),"——")</f>
        <v>——</v>
      </c>
      <c r="F111" s="2968"/>
      <c r="G111" s="1020" t="s">
        <v>1656</v>
      </c>
      <c r="H111" s="1021" t="str">
        <f>IF(E111="——","——",N59)</f>
        <v>——</v>
      </c>
      <c r="I111" s="643"/>
    </row>
    <row r="112" spans="1:35" ht="18.75" customHeight="1" thickBot="1">
      <c r="A112" s="643"/>
      <c r="B112" s="643"/>
      <c r="C112" s="643"/>
      <c r="D112" s="643"/>
      <c r="E112" s="2998"/>
      <c r="F112" s="2999"/>
      <c r="G112" s="1036" t="s">
        <v>1658</v>
      </c>
      <c r="H112" s="1037" t="str">
        <f>IF(E111="——","——",N61)</f>
        <v>——</v>
      </c>
      <c r="I112" s="643"/>
    </row>
    <row r="113" spans="1:27" ht="18.75" customHeight="1">
      <c r="A113" s="643"/>
      <c r="B113" s="643"/>
      <c r="C113" s="643"/>
      <c r="D113" s="643"/>
      <c r="E113" s="2971" t="s">
        <v>1664</v>
      </c>
      <c r="F113" s="2971"/>
      <c r="G113" s="2971"/>
      <c r="H113" s="2971"/>
      <c r="I113" s="643"/>
    </row>
    <row r="114" spans="1:27" ht="3.75" customHeight="1">
      <c r="A114" s="804"/>
      <c r="B114" s="804"/>
      <c r="C114" s="804"/>
      <c r="D114" s="804"/>
      <c r="E114" s="956"/>
      <c r="F114" s="956"/>
      <c r="G114" s="956"/>
      <c r="H114" s="956"/>
      <c r="I114" s="804"/>
    </row>
    <row r="115" spans="1:27" ht="18.75" customHeight="1">
      <c r="A115" s="2980" t="s">
        <v>1666</v>
      </c>
      <c r="B115" s="2981"/>
      <c r="C115" s="2981"/>
      <c r="D115" s="2981"/>
      <c r="E115" s="2981"/>
      <c r="F115" s="2981"/>
      <c r="G115" s="2981"/>
      <c r="H115" s="2981"/>
      <c r="I115" s="2982"/>
    </row>
    <row r="116" spans="1:27" ht="27" customHeight="1">
      <c r="A116" s="2938" t="s">
        <v>1667</v>
      </c>
      <c r="B116" s="2972" t="s">
        <v>1668</v>
      </c>
      <c r="C116" s="2972" t="s">
        <v>1669</v>
      </c>
      <c r="D116" s="2984" t="s">
        <v>1670</v>
      </c>
      <c r="E116" s="2985"/>
      <c r="F116" s="2979" t="s">
        <v>1671</v>
      </c>
      <c r="G116" s="2979"/>
      <c r="H116" s="2938" t="s">
        <v>1672</v>
      </c>
      <c r="I116" s="2938"/>
    </row>
    <row r="117" spans="1:27" ht="18.75" customHeight="1">
      <c r="A117" s="2938"/>
      <c r="B117" s="2973"/>
      <c r="C117" s="2973"/>
      <c r="D117" s="1038" t="s">
        <v>1673</v>
      </c>
      <c r="E117" s="1038" t="s">
        <v>1674</v>
      </c>
      <c r="F117" s="1038" t="s">
        <v>1673</v>
      </c>
      <c r="G117" s="1038" t="s">
        <v>1675</v>
      </c>
      <c r="H117" s="1038" t="s">
        <v>1673</v>
      </c>
      <c r="I117" s="1038" t="s">
        <v>1675</v>
      </c>
    </row>
    <row r="118" spans="1:27" ht="24.75" customHeight="1">
      <c r="A118" s="1039" t="str">
        <f>项目基本情况!S2</f>
        <v>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8" t="s">
        <v>1676</v>
      </c>
      <c r="B119" s="2938"/>
      <c r="C119" s="2938"/>
      <c r="D119" s="2976" t="e">
        <f ca="1">NUMBERSTRING(INT(D118*10000),2)&amp;"元整"</f>
        <v>#REF!</v>
      </c>
      <c r="E119" s="2978"/>
      <c r="F119" s="2976" t="e">
        <f ca="1">NUMBERSTRING(INT(F118*10000),2)&amp;"元整"</f>
        <v>#REF!</v>
      </c>
      <c r="G119" s="2978"/>
      <c r="H119" s="2976" t="e">
        <f ca="1">NUMBERSTRING(INT(H118*10000),2)&amp;"元整"</f>
        <v>#REF!</v>
      </c>
      <c r="I119" s="2978"/>
    </row>
    <row r="120" spans="1:27" ht="18.75" customHeight="1">
      <c r="A120" s="3000" t="str">
        <f>IF(项目基本情况!B9="房地产市场价值","",MID(E103,3,LEN(E103)-2))</f>
        <v>估价师知悉的法定优先受偿款</v>
      </c>
      <c r="B120" s="3001"/>
      <c r="C120" s="3002"/>
      <c r="D120" s="3000">
        <f>H103</f>
        <v>0</v>
      </c>
      <c r="E120" s="3001"/>
      <c r="F120" s="3001"/>
      <c r="G120" s="3001"/>
      <c r="H120" s="3001"/>
      <c r="I120" s="3002"/>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76" t="s">
        <v>1676</v>
      </c>
      <c r="B121" s="2977"/>
      <c r="C121" s="2978"/>
      <c r="D121" s="2976" t="str">
        <f>IF(D120=0,"零元整",NUMBERSTRING(INT(D120*10000),2)&amp;"元整")</f>
        <v>零元整</v>
      </c>
      <c r="E121" s="2977"/>
      <c r="F121" s="2977"/>
      <c r="G121" s="2977"/>
      <c r="H121" s="2977"/>
      <c r="I121" s="2978"/>
      <c r="AA121" s="556"/>
    </row>
    <row r="122" spans="1:27" ht="18.75" customHeight="1">
      <c r="A122" s="2968" t="str">
        <f>IF(项目基本情况!B9="房地产市场价值","",MID(E107,3,LEN(E107)-2))</f>
        <v>房地产抵押价值</v>
      </c>
      <c r="B122" s="2968"/>
      <c r="C122" s="2968"/>
      <c r="D122" s="3000" t="e">
        <f ca="1">H107</f>
        <v>#REF!</v>
      </c>
      <c r="E122" s="3001"/>
      <c r="F122" s="3001"/>
      <c r="G122" s="3001"/>
      <c r="H122" s="3001"/>
      <c r="I122" s="3002"/>
      <c r="AA122" s="556"/>
    </row>
    <row r="123" spans="1:27" ht="18.75" customHeight="1">
      <c r="A123" s="2938" t="s">
        <v>1676</v>
      </c>
      <c r="B123" s="2938"/>
      <c r="C123" s="2938"/>
      <c r="D123" s="2976" t="e">
        <f ca="1">NUMBERSTRING(INT(D122*10000),2)&amp;"元整"</f>
        <v>#REF!</v>
      </c>
      <c r="E123" s="2977"/>
      <c r="F123" s="2977"/>
      <c r="G123" s="2977"/>
      <c r="H123" s="2977"/>
      <c r="I123" s="2978"/>
      <c r="AA123" s="556"/>
    </row>
    <row r="124" spans="1:27" ht="18.75" customHeight="1">
      <c r="A124" s="2968" t="str">
        <f>IF(项目基本情况!B9="房地产市场价值","",MID(E109,3,LEN(E109)-2))</f>
        <v/>
      </c>
      <c r="B124" s="2968"/>
      <c r="C124" s="2968"/>
      <c r="D124" s="3000" t="str">
        <f>H109</f>
        <v>——</v>
      </c>
      <c r="E124" s="3001"/>
      <c r="F124" s="3001"/>
      <c r="G124" s="3001"/>
      <c r="H124" s="3001"/>
      <c r="I124" s="3002"/>
      <c r="AA124" s="556"/>
    </row>
    <row r="125" spans="1:27" ht="18.75" customHeight="1">
      <c r="A125" s="2938" t="s">
        <v>1676</v>
      </c>
      <c r="B125" s="2938"/>
      <c r="C125" s="2938"/>
      <c r="D125" s="2976" t="e">
        <f>NUMBERSTRING(INT(D124*10000),2)&amp;"元整"</f>
        <v>#VALUE!</v>
      </c>
      <c r="E125" s="2977"/>
      <c r="F125" s="2977"/>
      <c r="G125" s="2977"/>
      <c r="H125" s="2977"/>
      <c r="I125" s="2978"/>
      <c r="AA125" s="556"/>
    </row>
    <row r="126" spans="1:27" ht="18.75" customHeight="1">
      <c r="A126" s="2968" t="str">
        <f>IF(项目基本情况!B9="房地产市场价值","",MID(E111,3,LEN(E111)-2))</f>
        <v/>
      </c>
      <c r="B126" s="2968"/>
      <c r="C126" s="2968"/>
      <c r="D126" s="3000" t="str">
        <f>H111</f>
        <v>——</v>
      </c>
      <c r="E126" s="3001"/>
      <c r="F126" s="3001"/>
      <c r="G126" s="3001"/>
      <c r="H126" s="3001"/>
      <c r="I126" s="3002"/>
      <c r="AA126" s="556"/>
    </row>
    <row r="127" spans="1:27" ht="18.75" customHeight="1">
      <c r="A127" s="2938" t="s">
        <v>1676</v>
      </c>
      <c r="B127" s="2938"/>
      <c r="C127" s="2938"/>
      <c r="D127" s="2976" t="e">
        <f>NUMBERSTRING(INT(D126*10000),2)&amp;"元整"</f>
        <v>#VALUE!</v>
      </c>
      <c r="E127" s="2977"/>
      <c r="F127" s="2977"/>
      <c r="G127" s="2977"/>
      <c r="H127" s="2977"/>
      <c r="I127" s="2978"/>
      <c r="AA127" s="556"/>
    </row>
    <row r="128" spans="1:27" ht="21.75" customHeight="1">
      <c r="A128" s="2983" t="s">
        <v>1677</v>
      </c>
      <c r="B128" s="2983"/>
      <c r="C128" s="2983"/>
      <c r="D128" s="2983"/>
      <c r="E128" s="2983"/>
      <c r="F128" s="2983"/>
      <c r="G128" s="2983"/>
      <c r="H128" s="2983"/>
      <c r="I128" s="2983"/>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6328125" defaultRowHeight="12.5"/>
  <cols>
    <col min="1" max="1" width="10.36328125" style="1133" customWidth="1"/>
    <col min="2" max="2" width="29.26953125" style="1119" customWidth="1"/>
    <col min="3" max="3" width="12.08984375" style="1119" customWidth="1"/>
    <col min="4" max="5" width="11.26953125" style="1136" customWidth="1"/>
    <col min="6" max="6" width="9.453125" style="1119" customWidth="1"/>
    <col min="7" max="7" width="31.90625" style="1119" customWidth="1"/>
    <col min="8" max="254" width="9" style="1119" customWidth="1"/>
    <col min="255" max="16384" width="8.36328125" style="1119"/>
  </cols>
  <sheetData>
    <row r="1" spans="1:9" s="1063" customFormat="1" ht="21">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6">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ht="13">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26">
      <c r="A25" s="1107" t="s">
        <v>1732</v>
      </c>
      <c r="B25" s="1083" t="s">
        <v>1733</v>
      </c>
      <c r="C25" s="1108" t="e">
        <f ca="1">ROUND(IF('数据-取费表'!B22&lt;=1,C20*F22*'数据-取费表'!B23/2,C20*(POWER((1+F22),'数据-取费表'!B23/2)-1)),0)</f>
        <v>#VALUE!</v>
      </c>
      <c r="D25" s="1108"/>
      <c r="E25" s="1111"/>
      <c r="F25" s="1109"/>
      <c r="G25" s="1112" t="s">
        <v>1734</v>
      </c>
    </row>
    <row r="26" spans="1:7" s="1081" customFormat="1" ht="13">
      <c r="A26" s="1107" t="s">
        <v>558</v>
      </c>
      <c r="B26" s="1083" t="s">
        <v>1735</v>
      </c>
      <c r="C26" s="1108" t="e">
        <f ca="1">ROUND(IF('数据-取费表'!B22&lt;=1,F21*F22*'数据-取费表'!B23/2,F21*(POWER((1+F22),'数据-取费表'!B23/2)-1)),4)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14" t="s">
        <v>1768</v>
      </c>
    </row>
    <row r="43" spans="1:7" ht="13.5" customHeight="1">
      <c r="A43" s="1107" t="s">
        <v>555</v>
      </c>
      <c r="B43" s="1083" t="s">
        <v>1769</v>
      </c>
      <c r="C43" s="1108" t="e">
        <f ca="1">ROUND(IF('数据-取费表'!B22&lt;=1,C39*F22*'数据-取费表'!B21/2,C39*(POWER((1+F22),'数据-取费表'!B21/2)-1)),0)</f>
        <v>#VALUE!</v>
      </c>
      <c r="D43" s="1108"/>
      <c r="E43" s="1108"/>
      <c r="F43" s="1109"/>
      <c r="G43" s="3015"/>
    </row>
    <row r="44" spans="1:7" ht="13.5" customHeight="1">
      <c r="A44" s="1107" t="s">
        <v>556</v>
      </c>
      <c r="B44" s="1083" t="s">
        <v>1770</v>
      </c>
      <c r="C44" s="1108" t="e">
        <f ca="1">ROUND(IF('数据-取费表'!B22&lt;=1,C40*F22*'数据-取费表'!B21/2,C40*(POWER((1+F22),'数据-取费表'!B21/2)-1)),4)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26">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6328125" defaultRowHeight="12.5"/>
  <cols>
    <col min="1" max="1" width="9.36328125" style="1133" customWidth="1"/>
    <col min="2" max="2" width="29.26953125" style="1119" customWidth="1"/>
    <col min="3" max="3" width="12.08984375" style="1119" customWidth="1"/>
    <col min="4" max="5" width="11.26953125" style="1136" customWidth="1"/>
    <col min="6" max="6" width="9.453125" style="1119" customWidth="1"/>
    <col min="7" max="7" width="31.90625" style="1119" customWidth="1"/>
    <col min="8" max="8" width="10.7265625" style="1119" customWidth="1"/>
    <col min="9" max="254" width="9" style="1119" customWidth="1"/>
    <col min="255" max="16384" width="8.36328125" style="1119"/>
  </cols>
  <sheetData>
    <row r="1" spans="1:8" s="1063" customFormat="1" ht="21">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6">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ht="13">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26">
      <c r="A25" s="1107" t="s">
        <v>1700</v>
      </c>
      <c r="B25" s="1083" t="s">
        <v>1811</v>
      </c>
      <c r="C25" s="1108" t="e">
        <f ca="1">ROUND(IF('数据-取费表'!B22&lt;=1,C20*F22*'数据-取费表'!B22/2,C20*(POWER((1+F22),'数据-取费表'!B22/2)-1)),0)</f>
        <v>#VALUE!</v>
      </c>
      <c r="D25" s="1108"/>
      <c r="E25" s="1111"/>
      <c r="F25" s="1109"/>
      <c r="G25" s="1112" t="s">
        <v>1812</v>
      </c>
    </row>
    <row r="26" spans="1:7" s="1081" customFormat="1" ht="13">
      <c r="A26" s="1107" t="s">
        <v>558</v>
      </c>
      <c r="B26" s="1083" t="s">
        <v>1735</v>
      </c>
      <c r="C26" s="1108" t="e">
        <f ca="1">ROUND(IF('数据-取费表'!B22&lt;=1,F21*F22*'数据-取费表'!B22/2,F21*(POWER((1+F22),'数据-取费表'!B22/2)-1)),4)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14" t="s">
        <v>1815</v>
      </c>
    </row>
    <row r="43" spans="1:7" ht="13.5" customHeight="1">
      <c r="A43" s="1107" t="s">
        <v>555</v>
      </c>
      <c r="B43" s="1083" t="s">
        <v>1769</v>
      </c>
      <c r="C43" s="1108" t="e">
        <f ca="1">ROUND(IF('数据-取费表'!B22&lt;=1,C39*F22*'数据-取费表'!B20/2,C39*(POWER((1+F22),'数据-取费表'!B20/2)-1)),0)</f>
        <v>#VALUE!</v>
      </c>
      <c r="D43" s="1108"/>
      <c r="E43" s="1108"/>
      <c r="F43" s="1109"/>
      <c r="G43" s="3015"/>
    </row>
    <row r="44" spans="1:7" ht="13.5" customHeight="1">
      <c r="A44" s="1107" t="s">
        <v>556</v>
      </c>
      <c r="B44" s="1083" t="s">
        <v>1770</v>
      </c>
      <c r="C44" s="1108" t="e">
        <f ca="1">ROUND(IF('数据-取费表'!B22&lt;=1,C40*F22*'数据-取费表'!B20/2,C40*(POWER((1+F22),'数据-取费表'!B20/2)-1)),4)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ht="13.5">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
  <cols>
    <col min="1" max="1" width="3.453125" style="120" customWidth="1"/>
    <col min="2" max="9" width="10" style="120" customWidth="1"/>
    <col min="10" max="16384" width="9" style="120"/>
  </cols>
  <sheetData>
    <row r="36" spans="1:9">
      <c r="A36" s="119" t="s">
        <v>580</v>
      </c>
      <c r="B36" s="119" t="s">
        <v>581</v>
      </c>
    </row>
    <row r="37" spans="1:9" ht="27.75" customHeight="1">
      <c r="A37" s="119"/>
      <c r="B37" s="2840" t="str">
        <f>项目基本情况!B1</f>
        <v>预评估</v>
      </c>
      <c r="C37" s="2840"/>
      <c r="D37" s="2840"/>
      <c r="E37" s="2840"/>
      <c r="F37" s="2840"/>
      <c r="G37" s="2840"/>
      <c r="H37" s="2840"/>
      <c r="I37" s="2840"/>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ht="13.5">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328125" defaultRowHeight="12.5"/>
  <cols>
    <col min="1" max="1" width="9.7265625" style="594" customWidth="1"/>
    <col min="2" max="2" width="25.7265625" style="1147" customWidth="1"/>
    <col min="3" max="3" width="10.36328125" style="1213" customWidth="1"/>
    <col min="4" max="4" width="9.90625" style="1147" customWidth="1"/>
    <col min="5" max="5" width="9.453125" style="594" customWidth="1"/>
    <col min="6" max="6" width="10.08984375" style="1147" customWidth="1"/>
    <col min="7" max="7" width="10.7265625" style="1147" customWidth="1"/>
    <col min="8" max="8" width="10" style="1147" customWidth="1"/>
    <col min="9" max="11" width="9.453125" style="1147" customWidth="1"/>
    <col min="12" max="12" width="9" style="1147" customWidth="1"/>
    <col min="13" max="13" width="10.453125" style="1147" bestFit="1" customWidth="1"/>
    <col min="14" max="254" width="9" style="1147" customWidth="1"/>
    <col min="255" max="16384" width="6.6328125" style="1147"/>
  </cols>
  <sheetData>
    <row r="1" spans="1:33" ht="21">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26">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7265625" style="1123" customWidth="1"/>
    <col min="6" max="6" width="10.6328125" style="1123" customWidth="1"/>
    <col min="7" max="7" width="4.90625" style="1123" customWidth="1"/>
    <col min="8" max="8" width="8.453125" style="1123" customWidth="1"/>
    <col min="9" max="9" width="21.26953125" style="1123" customWidth="1"/>
    <col min="10" max="10" width="12.26953125" style="1123" customWidth="1"/>
    <col min="11" max="11" width="45.08984375" style="1445" customWidth="1"/>
    <col min="12" max="12" width="16.36328125" style="1123" customWidth="1"/>
    <col min="13" max="13" width="13" style="1123" customWidth="1"/>
    <col min="14" max="14" width="13.7265625" style="1233" customWidth="1"/>
    <col min="15" max="15" width="5.08984375" style="1233" customWidth="1"/>
    <col min="16" max="16" width="25.7265625" style="1233" customWidth="1"/>
    <col min="17" max="17" width="13.7265625" style="1233" customWidth="1"/>
    <col min="18" max="18" width="20.453125" style="1233" customWidth="1"/>
    <col min="19" max="19" width="13.2695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9" t="s">
        <v>907</v>
      </c>
      <c r="C6" s="1250">
        <f ca="1">ROUND(F6*F8*F7*(1-F9)/10000,0)</f>
        <v>0</v>
      </c>
      <c r="D6" s="900" t="s">
        <v>2367</v>
      </c>
      <c r="E6" s="818" t="s">
        <v>909</v>
      </c>
      <c r="F6" s="1251">
        <f ca="1">INDIRECT("'数据-取费表'!u"&amp;$G$1)</f>
        <v>0</v>
      </c>
      <c r="G6" s="1233"/>
      <c r="H6" s="1249" t="s">
        <v>615</v>
      </c>
      <c r="I6" s="3019" t="s">
        <v>907</v>
      </c>
      <c r="J6" s="1252">
        <f ca="1">ROUND(M6*M8*M7*(1-M9)/10000,0)</f>
        <v>0</v>
      </c>
      <c r="K6" s="900" t="s">
        <v>2366</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3">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4"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26.5"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26.5"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40"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c r="O70" s="1373" t="s">
        <v>629</v>
      </c>
      <c r="P70" s="1435" t="s">
        <v>1089</v>
      </c>
      <c r="Q70" s="1355" t="e">
        <f ca="1">C13</f>
        <v>#VALUE!</v>
      </c>
      <c r="R70" s="1355" t="s">
        <v>1033</v>
      </c>
    </row>
    <row r="71" spans="1:18" s="1233" customFormat="1" ht="13.5"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7265625" style="1123" customWidth="1"/>
    <col min="6" max="6" width="10.6328125" style="1123" customWidth="1"/>
    <col min="7" max="7" width="4.90625" style="1123" customWidth="1"/>
    <col min="8" max="8" width="8.453125" style="1123" customWidth="1"/>
    <col min="9" max="9" width="21.26953125" style="1123" customWidth="1"/>
    <col min="10" max="10" width="12.26953125" style="1123" customWidth="1"/>
    <col min="11" max="11" width="40.08984375" style="1445" customWidth="1"/>
    <col min="12" max="12" width="16.36328125" style="1123" customWidth="1"/>
    <col min="13" max="13" width="13" style="1123" customWidth="1"/>
    <col min="14" max="14" width="13.7265625" style="1233" customWidth="1"/>
    <col min="15" max="15" width="5.08984375" style="1233" customWidth="1"/>
    <col min="16" max="16" width="25.7265625" style="1233" customWidth="1"/>
    <col min="17" max="17" width="13.7265625" style="1233" customWidth="1"/>
    <col min="18" max="18" width="20.453125" style="1233" customWidth="1"/>
    <col min="19" max="19" width="13.2695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9" t="s">
        <v>907</v>
      </c>
      <c r="C6" s="1250">
        <f ca="1">ROUND(F6*F8*F7*(1-F9),0)</f>
        <v>0</v>
      </c>
      <c r="D6" s="900" t="s">
        <v>2364</v>
      </c>
      <c r="E6" s="818" t="s">
        <v>909</v>
      </c>
      <c r="F6" s="1251">
        <f ca="1">INDIRECT("'数据-取费表'!u"&amp;$G$1)</f>
        <v>0</v>
      </c>
      <c r="G6" s="1233"/>
      <c r="H6" s="1249" t="s">
        <v>615</v>
      </c>
      <c r="I6" s="3019" t="s">
        <v>907</v>
      </c>
      <c r="J6" s="1252">
        <f ca="1">ROUND(M6*M8*M7*(1-M9),0)</f>
        <v>0</v>
      </c>
      <c r="K6" s="1452" t="s">
        <v>2365</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4"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3.5"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f ca="1">F42</f>
        <v>0</v>
      </c>
      <c r="O70" s="1373" t="s">
        <v>629</v>
      </c>
      <c r="P70" s="1435" t="s">
        <v>1089</v>
      </c>
      <c r="Q70" s="1355" t="e">
        <f ca="1">C13</f>
        <v>#VALUE!</v>
      </c>
      <c r="R70" s="1355" t="s">
        <v>1033</v>
      </c>
    </row>
    <row r="71" spans="1:18" s="1233" customFormat="1" ht="13.5"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453125" style="1469" customWidth="1"/>
    <col min="2" max="2" width="8.90625" style="1469"/>
    <col min="3" max="5" width="12.90625" style="1469" customWidth="1"/>
    <col min="6" max="6" width="47.453125" style="1469" customWidth="1"/>
    <col min="7" max="7" width="13" style="1463" customWidth="1"/>
    <col min="8" max="8" width="8.90625" style="1463"/>
    <col min="9" max="9" width="8.90625" style="1464"/>
    <col min="10" max="10" width="5.7265625" style="1589" customWidth="1"/>
    <col min="11" max="11" width="11.7265625" style="1589" customWidth="1"/>
    <col min="12" max="13" width="10.7265625" style="1589" customWidth="1"/>
    <col min="14" max="14" width="10" style="1589" customWidth="1"/>
    <col min="15" max="16" width="10.453125" style="1589" bestFit="1" customWidth="1"/>
    <col min="17" max="17" width="10" style="1589" customWidth="1"/>
    <col min="18" max="18" width="10.08984375" style="1589" customWidth="1"/>
    <col min="19" max="19" width="10" style="1589" customWidth="1"/>
    <col min="20" max="20" width="26.08984375" style="1589" customWidth="1"/>
    <col min="21" max="21" width="8.90625" style="1589"/>
    <col min="22" max="22" width="8.90625" style="1464"/>
    <col min="23" max="256" width="8.90625" style="1469"/>
    <col min="257" max="257" width="9.453125" style="1469" customWidth="1"/>
    <col min="258" max="258" width="8.90625" style="1469"/>
    <col min="259" max="261" width="12.90625" style="1469" customWidth="1"/>
    <col min="262" max="262" width="47.453125" style="1469" customWidth="1"/>
    <col min="263" max="263" width="13" style="1469" customWidth="1"/>
    <col min="264" max="265" width="8.90625" style="1469"/>
    <col min="266" max="266" width="5.7265625" style="1469" customWidth="1"/>
    <col min="267" max="267" width="11.7265625" style="1469" customWidth="1"/>
    <col min="268" max="269" width="10.7265625" style="1469" customWidth="1"/>
    <col min="270" max="270" width="10" style="1469" customWidth="1"/>
    <col min="271" max="272" width="10.453125" style="1469" bestFit="1" customWidth="1"/>
    <col min="273" max="273" width="10" style="1469" customWidth="1"/>
    <col min="274" max="274" width="10.08984375" style="1469" customWidth="1"/>
    <col min="275" max="275" width="10" style="1469" customWidth="1"/>
    <col min="276" max="276" width="26.08984375" style="1469" customWidth="1"/>
    <col min="277" max="512" width="8.90625" style="1469"/>
    <col min="513" max="513" width="9.453125" style="1469" customWidth="1"/>
    <col min="514" max="514" width="8.90625" style="1469"/>
    <col min="515" max="517" width="12.90625" style="1469" customWidth="1"/>
    <col min="518" max="518" width="47.453125" style="1469" customWidth="1"/>
    <col min="519" max="519" width="13" style="1469" customWidth="1"/>
    <col min="520" max="521" width="8.90625" style="1469"/>
    <col min="522" max="522" width="5.7265625" style="1469" customWidth="1"/>
    <col min="523" max="523" width="11.7265625" style="1469" customWidth="1"/>
    <col min="524" max="525" width="10.7265625" style="1469" customWidth="1"/>
    <col min="526" max="526" width="10" style="1469" customWidth="1"/>
    <col min="527" max="528" width="10.453125" style="1469" bestFit="1" customWidth="1"/>
    <col min="529" max="529" width="10" style="1469" customWidth="1"/>
    <col min="530" max="530" width="10.08984375" style="1469" customWidth="1"/>
    <col min="531" max="531" width="10" style="1469" customWidth="1"/>
    <col min="532" max="532" width="26.08984375" style="1469" customWidth="1"/>
    <col min="533" max="768" width="8.90625" style="1469"/>
    <col min="769" max="769" width="9.453125" style="1469" customWidth="1"/>
    <col min="770" max="770" width="8.90625" style="1469"/>
    <col min="771" max="773" width="12.90625" style="1469" customWidth="1"/>
    <col min="774" max="774" width="47.453125" style="1469" customWidth="1"/>
    <col min="775" max="775" width="13" style="1469" customWidth="1"/>
    <col min="776" max="777" width="8.90625" style="1469"/>
    <col min="778" max="778" width="5.7265625" style="1469" customWidth="1"/>
    <col min="779" max="779" width="11.7265625" style="1469" customWidth="1"/>
    <col min="780" max="781" width="10.7265625" style="1469" customWidth="1"/>
    <col min="782" max="782" width="10" style="1469" customWidth="1"/>
    <col min="783" max="784" width="10.453125" style="1469" bestFit="1" customWidth="1"/>
    <col min="785" max="785" width="10" style="1469" customWidth="1"/>
    <col min="786" max="786" width="10.08984375" style="1469" customWidth="1"/>
    <col min="787" max="787" width="10" style="1469" customWidth="1"/>
    <col min="788" max="788" width="26.08984375" style="1469" customWidth="1"/>
    <col min="789" max="1024" width="8.90625" style="1469"/>
    <col min="1025" max="1025" width="9.453125" style="1469" customWidth="1"/>
    <col min="1026" max="1026" width="8.90625" style="1469"/>
    <col min="1027" max="1029" width="12.90625" style="1469" customWidth="1"/>
    <col min="1030" max="1030" width="47.453125" style="1469" customWidth="1"/>
    <col min="1031" max="1031" width="13" style="1469" customWidth="1"/>
    <col min="1032" max="1033" width="8.90625" style="1469"/>
    <col min="1034" max="1034" width="5.7265625" style="1469" customWidth="1"/>
    <col min="1035" max="1035" width="11.7265625" style="1469" customWidth="1"/>
    <col min="1036" max="1037" width="10.7265625" style="1469" customWidth="1"/>
    <col min="1038" max="1038" width="10" style="1469" customWidth="1"/>
    <col min="1039" max="1040" width="10.453125" style="1469" bestFit="1" customWidth="1"/>
    <col min="1041" max="1041" width="10" style="1469" customWidth="1"/>
    <col min="1042" max="1042" width="10.08984375" style="1469" customWidth="1"/>
    <col min="1043" max="1043" width="10" style="1469" customWidth="1"/>
    <col min="1044" max="1044" width="26.08984375" style="1469" customWidth="1"/>
    <col min="1045" max="1280" width="8.90625" style="1469"/>
    <col min="1281" max="1281" width="9.453125" style="1469" customWidth="1"/>
    <col min="1282" max="1282" width="8.90625" style="1469"/>
    <col min="1283" max="1285" width="12.90625" style="1469" customWidth="1"/>
    <col min="1286" max="1286" width="47.453125" style="1469" customWidth="1"/>
    <col min="1287" max="1287" width="13" style="1469" customWidth="1"/>
    <col min="1288" max="1289" width="8.90625" style="1469"/>
    <col min="1290" max="1290" width="5.7265625" style="1469" customWidth="1"/>
    <col min="1291" max="1291" width="11.7265625" style="1469" customWidth="1"/>
    <col min="1292" max="1293" width="10.7265625" style="1469" customWidth="1"/>
    <col min="1294" max="1294" width="10" style="1469" customWidth="1"/>
    <col min="1295" max="1296" width="10.453125" style="1469" bestFit="1" customWidth="1"/>
    <col min="1297" max="1297" width="10" style="1469" customWidth="1"/>
    <col min="1298" max="1298" width="10.08984375" style="1469" customWidth="1"/>
    <col min="1299" max="1299" width="10" style="1469" customWidth="1"/>
    <col min="1300" max="1300" width="26.08984375" style="1469" customWidth="1"/>
    <col min="1301" max="1536" width="8.90625" style="1469"/>
    <col min="1537" max="1537" width="9.453125" style="1469" customWidth="1"/>
    <col min="1538" max="1538" width="8.90625" style="1469"/>
    <col min="1539" max="1541" width="12.90625" style="1469" customWidth="1"/>
    <col min="1542" max="1542" width="47.453125" style="1469" customWidth="1"/>
    <col min="1543" max="1543" width="13" style="1469" customWidth="1"/>
    <col min="1544" max="1545" width="8.90625" style="1469"/>
    <col min="1546" max="1546" width="5.7265625" style="1469" customWidth="1"/>
    <col min="1547" max="1547" width="11.7265625" style="1469" customWidth="1"/>
    <col min="1548" max="1549" width="10.7265625" style="1469" customWidth="1"/>
    <col min="1550" max="1550" width="10" style="1469" customWidth="1"/>
    <col min="1551" max="1552" width="10.453125" style="1469" bestFit="1" customWidth="1"/>
    <col min="1553" max="1553" width="10" style="1469" customWidth="1"/>
    <col min="1554" max="1554" width="10.08984375" style="1469" customWidth="1"/>
    <col min="1555" max="1555" width="10" style="1469" customWidth="1"/>
    <col min="1556" max="1556" width="26.08984375" style="1469" customWidth="1"/>
    <col min="1557" max="1792" width="8.90625" style="1469"/>
    <col min="1793" max="1793" width="9.453125" style="1469" customWidth="1"/>
    <col min="1794" max="1794" width="8.90625" style="1469"/>
    <col min="1795" max="1797" width="12.90625" style="1469" customWidth="1"/>
    <col min="1798" max="1798" width="47.453125" style="1469" customWidth="1"/>
    <col min="1799" max="1799" width="13" style="1469" customWidth="1"/>
    <col min="1800" max="1801" width="8.90625" style="1469"/>
    <col min="1802" max="1802" width="5.7265625" style="1469" customWidth="1"/>
    <col min="1803" max="1803" width="11.7265625" style="1469" customWidth="1"/>
    <col min="1804" max="1805" width="10.7265625" style="1469" customWidth="1"/>
    <col min="1806" max="1806" width="10" style="1469" customWidth="1"/>
    <col min="1807" max="1808" width="10.453125" style="1469" bestFit="1" customWidth="1"/>
    <col min="1809" max="1809" width="10" style="1469" customWidth="1"/>
    <col min="1810" max="1810" width="10.08984375" style="1469" customWidth="1"/>
    <col min="1811" max="1811" width="10" style="1469" customWidth="1"/>
    <col min="1812" max="1812" width="26.08984375" style="1469" customWidth="1"/>
    <col min="1813" max="2048" width="8.90625" style="1469"/>
    <col min="2049" max="2049" width="9.453125" style="1469" customWidth="1"/>
    <col min="2050" max="2050" width="8.90625" style="1469"/>
    <col min="2051" max="2053" width="12.90625" style="1469" customWidth="1"/>
    <col min="2054" max="2054" width="47.453125" style="1469" customWidth="1"/>
    <col min="2055" max="2055" width="13" style="1469" customWidth="1"/>
    <col min="2056" max="2057" width="8.90625" style="1469"/>
    <col min="2058" max="2058" width="5.7265625" style="1469" customWidth="1"/>
    <col min="2059" max="2059" width="11.7265625" style="1469" customWidth="1"/>
    <col min="2060" max="2061" width="10.7265625" style="1469" customWidth="1"/>
    <col min="2062" max="2062" width="10" style="1469" customWidth="1"/>
    <col min="2063" max="2064" width="10.453125" style="1469" bestFit="1" customWidth="1"/>
    <col min="2065" max="2065" width="10" style="1469" customWidth="1"/>
    <col min="2066" max="2066" width="10.08984375" style="1469" customWidth="1"/>
    <col min="2067" max="2067" width="10" style="1469" customWidth="1"/>
    <col min="2068" max="2068" width="26.08984375" style="1469" customWidth="1"/>
    <col min="2069" max="2304" width="8.90625" style="1469"/>
    <col min="2305" max="2305" width="9.453125" style="1469" customWidth="1"/>
    <col min="2306" max="2306" width="8.90625" style="1469"/>
    <col min="2307" max="2309" width="12.90625" style="1469" customWidth="1"/>
    <col min="2310" max="2310" width="47.453125" style="1469" customWidth="1"/>
    <col min="2311" max="2311" width="13" style="1469" customWidth="1"/>
    <col min="2312" max="2313" width="8.90625" style="1469"/>
    <col min="2314" max="2314" width="5.7265625" style="1469" customWidth="1"/>
    <col min="2315" max="2315" width="11.7265625" style="1469" customWidth="1"/>
    <col min="2316" max="2317" width="10.7265625" style="1469" customWidth="1"/>
    <col min="2318" max="2318" width="10" style="1469" customWidth="1"/>
    <col min="2319" max="2320" width="10.453125" style="1469" bestFit="1" customWidth="1"/>
    <col min="2321" max="2321" width="10" style="1469" customWidth="1"/>
    <col min="2322" max="2322" width="10.08984375" style="1469" customWidth="1"/>
    <col min="2323" max="2323" width="10" style="1469" customWidth="1"/>
    <col min="2324" max="2324" width="26.08984375" style="1469" customWidth="1"/>
    <col min="2325" max="2560" width="8.90625" style="1469"/>
    <col min="2561" max="2561" width="9.453125" style="1469" customWidth="1"/>
    <col min="2562" max="2562" width="8.90625" style="1469"/>
    <col min="2563" max="2565" width="12.90625" style="1469" customWidth="1"/>
    <col min="2566" max="2566" width="47.453125" style="1469" customWidth="1"/>
    <col min="2567" max="2567" width="13" style="1469" customWidth="1"/>
    <col min="2568" max="2569" width="8.90625" style="1469"/>
    <col min="2570" max="2570" width="5.7265625" style="1469" customWidth="1"/>
    <col min="2571" max="2571" width="11.7265625" style="1469" customWidth="1"/>
    <col min="2572" max="2573" width="10.7265625" style="1469" customWidth="1"/>
    <col min="2574" max="2574" width="10" style="1469" customWidth="1"/>
    <col min="2575" max="2576" width="10.453125" style="1469" bestFit="1" customWidth="1"/>
    <col min="2577" max="2577" width="10" style="1469" customWidth="1"/>
    <col min="2578" max="2578" width="10.08984375" style="1469" customWidth="1"/>
    <col min="2579" max="2579" width="10" style="1469" customWidth="1"/>
    <col min="2580" max="2580" width="26.08984375" style="1469" customWidth="1"/>
    <col min="2581" max="2816" width="8.90625" style="1469"/>
    <col min="2817" max="2817" width="9.453125" style="1469" customWidth="1"/>
    <col min="2818" max="2818" width="8.90625" style="1469"/>
    <col min="2819" max="2821" width="12.90625" style="1469" customWidth="1"/>
    <col min="2822" max="2822" width="47.453125" style="1469" customWidth="1"/>
    <col min="2823" max="2823" width="13" style="1469" customWidth="1"/>
    <col min="2824" max="2825" width="8.90625" style="1469"/>
    <col min="2826" max="2826" width="5.7265625" style="1469" customWidth="1"/>
    <col min="2827" max="2827" width="11.7265625" style="1469" customWidth="1"/>
    <col min="2828" max="2829" width="10.7265625" style="1469" customWidth="1"/>
    <col min="2830" max="2830" width="10" style="1469" customWidth="1"/>
    <col min="2831" max="2832" width="10.453125" style="1469" bestFit="1" customWidth="1"/>
    <col min="2833" max="2833" width="10" style="1469" customWidth="1"/>
    <col min="2834" max="2834" width="10.08984375" style="1469" customWidth="1"/>
    <col min="2835" max="2835" width="10" style="1469" customWidth="1"/>
    <col min="2836" max="2836" width="26.08984375" style="1469" customWidth="1"/>
    <col min="2837" max="3072" width="8.90625" style="1469"/>
    <col min="3073" max="3073" width="9.453125" style="1469" customWidth="1"/>
    <col min="3074" max="3074" width="8.90625" style="1469"/>
    <col min="3075" max="3077" width="12.90625" style="1469" customWidth="1"/>
    <col min="3078" max="3078" width="47.453125" style="1469" customWidth="1"/>
    <col min="3079" max="3079" width="13" style="1469" customWidth="1"/>
    <col min="3080" max="3081" width="8.90625" style="1469"/>
    <col min="3082" max="3082" width="5.7265625" style="1469" customWidth="1"/>
    <col min="3083" max="3083" width="11.7265625" style="1469" customWidth="1"/>
    <col min="3084" max="3085" width="10.7265625" style="1469" customWidth="1"/>
    <col min="3086" max="3086" width="10" style="1469" customWidth="1"/>
    <col min="3087" max="3088" width="10.453125" style="1469" bestFit="1" customWidth="1"/>
    <col min="3089" max="3089" width="10" style="1469" customWidth="1"/>
    <col min="3090" max="3090" width="10.08984375" style="1469" customWidth="1"/>
    <col min="3091" max="3091" width="10" style="1469" customWidth="1"/>
    <col min="3092" max="3092" width="26.08984375" style="1469" customWidth="1"/>
    <col min="3093" max="3328" width="8.90625" style="1469"/>
    <col min="3329" max="3329" width="9.453125" style="1469" customWidth="1"/>
    <col min="3330" max="3330" width="8.90625" style="1469"/>
    <col min="3331" max="3333" width="12.90625" style="1469" customWidth="1"/>
    <col min="3334" max="3334" width="47.453125" style="1469" customWidth="1"/>
    <col min="3335" max="3335" width="13" style="1469" customWidth="1"/>
    <col min="3336" max="3337" width="8.90625" style="1469"/>
    <col min="3338" max="3338" width="5.7265625" style="1469" customWidth="1"/>
    <col min="3339" max="3339" width="11.7265625" style="1469" customWidth="1"/>
    <col min="3340" max="3341" width="10.7265625" style="1469" customWidth="1"/>
    <col min="3342" max="3342" width="10" style="1469" customWidth="1"/>
    <col min="3343" max="3344" width="10.453125" style="1469" bestFit="1" customWidth="1"/>
    <col min="3345" max="3345" width="10" style="1469" customWidth="1"/>
    <col min="3346" max="3346" width="10.08984375" style="1469" customWidth="1"/>
    <col min="3347" max="3347" width="10" style="1469" customWidth="1"/>
    <col min="3348" max="3348" width="26.08984375" style="1469" customWidth="1"/>
    <col min="3349" max="3584" width="8.90625" style="1469"/>
    <col min="3585" max="3585" width="9.453125" style="1469" customWidth="1"/>
    <col min="3586" max="3586" width="8.90625" style="1469"/>
    <col min="3587" max="3589" width="12.90625" style="1469" customWidth="1"/>
    <col min="3590" max="3590" width="47.453125" style="1469" customWidth="1"/>
    <col min="3591" max="3591" width="13" style="1469" customWidth="1"/>
    <col min="3592" max="3593" width="8.90625" style="1469"/>
    <col min="3594" max="3594" width="5.7265625" style="1469" customWidth="1"/>
    <col min="3595" max="3595" width="11.7265625" style="1469" customWidth="1"/>
    <col min="3596" max="3597" width="10.7265625" style="1469" customWidth="1"/>
    <col min="3598" max="3598" width="10" style="1469" customWidth="1"/>
    <col min="3599" max="3600" width="10.453125" style="1469" bestFit="1" customWidth="1"/>
    <col min="3601" max="3601" width="10" style="1469" customWidth="1"/>
    <col min="3602" max="3602" width="10.08984375" style="1469" customWidth="1"/>
    <col min="3603" max="3603" width="10" style="1469" customWidth="1"/>
    <col min="3604" max="3604" width="26.08984375" style="1469" customWidth="1"/>
    <col min="3605" max="3840" width="8.90625" style="1469"/>
    <col min="3841" max="3841" width="9.453125" style="1469" customWidth="1"/>
    <col min="3842" max="3842" width="8.90625" style="1469"/>
    <col min="3843" max="3845" width="12.90625" style="1469" customWidth="1"/>
    <col min="3846" max="3846" width="47.453125" style="1469" customWidth="1"/>
    <col min="3847" max="3847" width="13" style="1469" customWidth="1"/>
    <col min="3848" max="3849" width="8.90625" style="1469"/>
    <col min="3850" max="3850" width="5.7265625" style="1469" customWidth="1"/>
    <col min="3851" max="3851" width="11.7265625" style="1469" customWidth="1"/>
    <col min="3852" max="3853" width="10.7265625" style="1469" customWidth="1"/>
    <col min="3854" max="3854" width="10" style="1469" customWidth="1"/>
    <col min="3855" max="3856" width="10.453125" style="1469" bestFit="1" customWidth="1"/>
    <col min="3857" max="3857" width="10" style="1469" customWidth="1"/>
    <col min="3858" max="3858" width="10.08984375" style="1469" customWidth="1"/>
    <col min="3859" max="3859" width="10" style="1469" customWidth="1"/>
    <col min="3860" max="3860" width="26.08984375" style="1469" customWidth="1"/>
    <col min="3861" max="4096" width="8.90625" style="1469"/>
    <col min="4097" max="4097" width="9.453125" style="1469" customWidth="1"/>
    <col min="4098" max="4098" width="8.90625" style="1469"/>
    <col min="4099" max="4101" width="12.90625" style="1469" customWidth="1"/>
    <col min="4102" max="4102" width="47.453125" style="1469" customWidth="1"/>
    <col min="4103" max="4103" width="13" style="1469" customWidth="1"/>
    <col min="4104" max="4105" width="8.90625" style="1469"/>
    <col min="4106" max="4106" width="5.7265625" style="1469" customWidth="1"/>
    <col min="4107" max="4107" width="11.7265625" style="1469" customWidth="1"/>
    <col min="4108" max="4109" width="10.7265625" style="1469" customWidth="1"/>
    <col min="4110" max="4110" width="10" style="1469" customWidth="1"/>
    <col min="4111" max="4112" width="10.453125" style="1469" bestFit="1" customWidth="1"/>
    <col min="4113" max="4113" width="10" style="1469" customWidth="1"/>
    <col min="4114" max="4114" width="10.08984375" style="1469" customWidth="1"/>
    <col min="4115" max="4115" width="10" style="1469" customWidth="1"/>
    <col min="4116" max="4116" width="26.08984375" style="1469" customWidth="1"/>
    <col min="4117" max="4352" width="8.90625" style="1469"/>
    <col min="4353" max="4353" width="9.453125" style="1469" customWidth="1"/>
    <col min="4354" max="4354" width="8.90625" style="1469"/>
    <col min="4355" max="4357" width="12.90625" style="1469" customWidth="1"/>
    <col min="4358" max="4358" width="47.453125" style="1469" customWidth="1"/>
    <col min="4359" max="4359" width="13" style="1469" customWidth="1"/>
    <col min="4360" max="4361" width="8.90625" style="1469"/>
    <col min="4362" max="4362" width="5.7265625" style="1469" customWidth="1"/>
    <col min="4363" max="4363" width="11.7265625" style="1469" customWidth="1"/>
    <col min="4364" max="4365" width="10.7265625" style="1469" customWidth="1"/>
    <col min="4366" max="4366" width="10" style="1469" customWidth="1"/>
    <col min="4367" max="4368" width="10.453125" style="1469" bestFit="1" customWidth="1"/>
    <col min="4369" max="4369" width="10" style="1469" customWidth="1"/>
    <col min="4370" max="4370" width="10.08984375" style="1469" customWidth="1"/>
    <col min="4371" max="4371" width="10" style="1469" customWidth="1"/>
    <col min="4372" max="4372" width="26.08984375" style="1469" customWidth="1"/>
    <col min="4373" max="4608" width="8.90625" style="1469"/>
    <col min="4609" max="4609" width="9.453125" style="1469" customWidth="1"/>
    <col min="4610" max="4610" width="8.90625" style="1469"/>
    <col min="4611" max="4613" width="12.90625" style="1469" customWidth="1"/>
    <col min="4614" max="4614" width="47.453125" style="1469" customWidth="1"/>
    <col min="4615" max="4615" width="13" style="1469" customWidth="1"/>
    <col min="4616" max="4617" width="8.90625" style="1469"/>
    <col min="4618" max="4618" width="5.7265625" style="1469" customWidth="1"/>
    <col min="4619" max="4619" width="11.7265625" style="1469" customWidth="1"/>
    <col min="4620" max="4621" width="10.7265625" style="1469" customWidth="1"/>
    <col min="4622" max="4622" width="10" style="1469" customWidth="1"/>
    <col min="4623" max="4624" width="10.453125" style="1469" bestFit="1" customWidth="1"/>
    <col min="4625" max="4625" width="10" style="1469" customWidth="1"/>
    <col min="4626" max="4626" width="10.08984375" style="1469" customWidth="1"/>
    <col min="4627" max="4627" width="10" style="1469" customWidth="1"/>
    <col min="4628" max="4628" width="26.08984375" style="1469" customWidth="1"/>
    <col min="4629" max="4864" width="8.90625" style="1469"/>
    <col min="4865" max="4865" width="9.453125" style="1469" customWidth="1"/>
    <col min="4866" max="4866" width="8.90625" style="1469"/>
    <col min="4867" max="4869" width="12.90625" style="1469" customWidth="1"/>
    <col min="4870" max="4870" width="47.453125" style="1469" customWidth="1"/>
    <col min="4871" max="4871" width="13" style="1469" customWidth="1"/>
    <col min="4872" max="4873" width="8.90625" style="1469"/>
    <col min="4874" max="4874" width="5.7265625" style="1469" customWidth="1"/>
    <col min="4875" max="4875" width="11.7265625" style="1469" customWidth="1"/>
    <col min="4876" max="4877" width="10.7265625" style="1469" customWidth="1"/>
    <col min="4878" max="4878" width="10" style="1469" customWidth="1"/>
    <col min="4879" max="4880" width="10.453125" style="1469" bestFit="1" customWidth="1"/>
    <col min="4881" max="4881" width="10" style="1469" customWidth="1"/>
    <col min="4882" max="4882" width="10.08984375" style="1469" customWidth="1"/>
    <col min="4883" max="4883" width="10" style="1469" customWidth="1"/>
    <col min="4884" max="4884" width="26.08984375" style="1469" customWidth="1"/>
    <col min="4885" max="5120" width="8.90625" style="1469"/>
    <col min="5121" max="5121" width="9.453125" style="1469" customWidth="1"/>
    <col min="5122" max="5122" width="8.90625" style="1469"/>
    <col min="5123" max="5125" width="12.90625" style="1469" customWidth="1"/>
    <col min="5126" max="5126" width="47.453125" style="1469" customWidth="1"/>
    <col min="5127" max="5127" width="13" style="1469" customWidth="1"/>
    <col min="5128" max="5129" width="8.90625" style="1469"/>
    <col min="5130" max="5130" width="5.7265625" style="1469" customWidth="1"/>
    <col min="5131" max="5131" width="11.7265625" style="1469" customWidth="1"/>
    <col min="5132" max="5133" width="10.7265625" style="1469" customWidth="1"/>
    <col min="5134" max="5134" width="10" style="1469" customWidth="1"/>
    <col min="5135" max="5136" width="10.453125" style="1469" bestFit="1" customWidth="1"/>
    <col min="5137" max="5137" width="10" style="1469" customWidth="1"/>
    <col min="5138" max="5138" width="10.08984375" style="1469" customWidth="1"/>
    <col min="5139" max="5139" width="10" style="1469" customWidth="1"/>
    <col min="5140" max="5140" width="26.08984375" style="1469" customWidth="1"/>
    <col min="5141" max="5376" width="8.90625" style="1469"/>
    <col min="5377" max="5377" width="9.453125" style="1469" customWidth="1"/>
    <col min="5378" max="5378" width="8.90625" style="1469"/>
    <col min="5379" max="5381" width="12.90625" style="1469" customWidth="1"/>
    <col min="5382" max="5382" width="47.453125" style="1469" customWidth="1"/>
    <col min="5383" max="5383" width="13" style="1469" customWidth="1"/>
    <col min="5384" max="5385" width="8.90625" style="1469"/>
    <col min="5386" max="5386" width="5.7265625" style="1469" customWidth="1"/>
    <col min="5387" max="5387" width="11.7265625" style="1469" customWidth="1"/>
    <col min="5388" max="5389" width="10.7265625" style="1469" customWidth="1"/>
    <col min="5390" max="5390" width="10" style="1469" customWidth="1"/>
    <col min="5391" max="5392" width="10.453125" style="1469" bestFit="1" customWidth="1"/>
    <col min="5393" max="5393" width="10" style="1469" customWidth="1"/>
    <col min="5394" max="5394" width="10.08984375" style="1469" customWidth="1"/>
    <col min="5395" max="5395" width="10" style="1469" customWidth="1"/>
    <col min="5396" max="5396" width="26.08984375" style="1469" customWidth="1"/>
    <col min="5397" max="5632" width="8.90625" style="1469"/>
    <col min="5633" max="5633" width="9.453125" style="1469" customWidth="1"/>
    <col min="5634" max="5634" width="8.90625" style="1469"/>
    <col min="5635" max="5637" width="12.90625" style="1469" customWidth="1"/>
    <col min="5638" max="5638" width="47.453125" style="1469" customWidth="1"/>
    <col min="5639" max="5639" width="13" style="1469" customWidth="1"/>
    <col min="5640" max="5641" width="8.90625" style="1469"/>
    <col min="5642" max="5642" width="5.7265625" style="1469" customWidth="1"/>
    <col min="5643" max="5643" width="11.7265625" style="1469" customWidth="1"/>
    <col min="5644" max="5645" width="10.7265625" style="1469" customWidth="1"/>
    <col min="5646" max="5646" width="10" style="1469" customWidth="1"/>
    <col min="5647" max="5648" width="10.453125" style="1469" bestFit="1" customWidth="1"/>
    <col min="5649" max="5649" width="10" style="1469" customWidth="1"/>
    <col min="5650" max="5650" width="10.08984375" style="1469" customWidth="1"/>
    <col min="5651" max="5651" width="10" style="1469" customWidth="1"/>
    <col min="5652" max="5652" width="26.08984375" style="1469" customWidth="1"/>
    <col min="5653" max="5888" width="8.90625" style="1469"/>
    <col min="5889" max="5889" width="9.453125" style="1469" customWidth="1"/>
    <col min="5890" max="5890" width="8.90625" style="1469"/>
    <col min="5891" max="5893" width="12.90625" style="1469" customWidth="1"/>
    <col min="5894" max="5894" width="47.453125" style="1469" customWidth="1"/>
    <col min="5895" max="5895" width="13" style="1469" customWidth="1"/>
    <col min="5896" max="5897" width="8.90625" style="1469"/>
    <col min="5898" max="5898" width="5.7265625" style="1469" customWidth="1"/>
    <col min="5899" max="5899" width="11.7265625" style="1469" customWidth="1"/>
    <col min="5900" max="5901" width="10.7265625" style="1469" customWidth="1"/>
    <col min="5902" max="5902" width="10" style="1469" customWidth="1"/>
    <col min="5903" max="5904" width="10.453125" style="1469" bestFit="1" customWidth="1"/>
    <col min="5905" max="5905" width="10" style="1469" customWidth="1"/>
    <col min="5906" max="5906" width="10.08984375" style="1469" customWidth="1"/>
    <col min="5907" max="5907" width="10" style="1469" customWidth="1"/>
    <col min="5908" max="5908" width="26.08984375" style="1469" customWidth="1"/>
    <col min="5909" max="6144" width="8.90625" style="1469"/>
    <col min="6145" max="6145" width="9.453125" style="1469" customWidth="1"/>
    <col min="6146" max="6146" width="8.90625" style="1469"/>
    <col min="6147" max="6149" width="12.90625" style="1469" customWidth="1"/>
    <col min="6150" max="6150" width="47.453125" style="1469" customWidth="1"/>
    <col min="6151" max="6151" width="13" style="1469" customWidth="1"/>
    <col min="6152" max="6153" width="8.90625" style="1469"/>
    <col min="6154" max="6154" width="5.7265625" style="1469" customWidth="1"/>
    <col min="6155" max="6155" width="11.7265625" style="1469" customWidth="1"/>
    <col min="6156" max="6157" width="10.7265625" style="1469" customWidth="1"/>
    <col min="6158" max="6158" width="10" style="1469" customWidth="1"/>
    <col min="6159" max="6160" width="10.453125" style="1469" bestFit="1" customWidth="1"/>
    <col min="6161" max="6161" width="10" style="1469" customWidth="1"/>
    <col min="6162" max="6162" width="10.08984375" style="1469" customWidth="1"/>
    <col min="6163" max="6163" width="10" style="1469" customWidth="1"/>
    <col min="6164" max="6164" width="26.08984375" style="1469" customWidth="1"/>
    <col min="6165" max="6400" width="8.90625" style="1469"/>
    <col min="6401" max="6401" width="9.453125" style="1469" customWidth="1"/>
    <col min="6402" max="6402" width="8.90625" style="1469"/>
    <col min="6403" max="6405" width="12.90625" style="1469" customWidth="1"/>
    <col min="6406" max="6406" width="47.453125" style="1469" customWidth="1"/>
    <col min="6407" max="6407" width="13" style="1469" customWidth="1"/>
    <col min="6408" max="6409" width="8.90625" style="1469"/>
    <col min="6410" max="6410" width="5.7265625" style="1469" customWidth="1"/>
    <col min="6411" max="6411" width="11.7265625" style="1469" customWidth="1"/>
    <col min="6412" max="6413" width="10.7265625" style="1469" customWidth="1"/>
    <col min="6414" max="6414" width="10" style="1469" customWidth="1"/>
    <col min="6415" max="6416" width="10.453125" style="1469" bestFit="1" customWidth="1"/>
    <col min="6417" max="6417" width="10" style="1469" customWidth="1"/>
    <col min="6418" max="6418" width="10.08984375" style="1469" customWidth="1"/>
    <col min="6419" max="6419" width="10" style="1469" customWidth="1"/>
    <col min="6420" max="6420" width="26.08984375" style="1469" customWidth="1"/>
    <col min="6421" max="6656" width="8.90625" style="1469"/>
    <col min="6657" max="6657" width="9.453125" style="1469" customWidth="1"/>
    <col min="6658" max="6658" width="8.90625" style="1469"/>
    <col min="6659" max="6661" width="12.90625" style="1469" customWidth="1"/>
    <col min="6662" max="6662" width="47.453125" style="1469" customWidth="1"/>
    <col min="6663" max="6663" width="13" style="1469" customWidth="1"/>
    <col min="6664" max="6665" width="8.90625" style="1469"/>
    <col min="6666" max="6666" width="5.7265625" style="1469" customWidth="1"/>
    <col min="6667" max="6667" width="11.7265625" style="1469" customWidth="1"/>
    <col min="6668" max="6669" width="10.7265625" style="1469" customWidth="1"/>
    <col min="6670" max="6670" width="10" style="1469" customWidth="1"/>
    <col min="6671" max="6672" width="10.453125" style="1469" bestFit="1" customWidth="1"/>
    <col min="6673" max="6673" width="10" style="1469" customWidth="1"/>
    <col min="6674" max="6674" width="10.08984375" style="1469" customWidth="1"/>
    <col min="6675" max="6675" width="10" style="1469" customWidth="1"/>
    <col min="6676" max="6676" width="26.08984375" style="1469" customWidth="1"/>
    <col min="6677" max="6912" width="8.90625" style="1469"/>
    <col min="6913" max="6913" width="9.453125" style="1469" customWidth="1"/>
    <col min="6914" max="6914" width="8.90625" style="1469"/>
    <col min="6915" max="6917" width="12.90625" style="1469" customWidth="1"/>
    <col min="6918" max="6918" width="47.453125" style="1469" customWidth="1"/>
    <col min="6919" max="6919" width="13" style="1469" customWidth="1"/>
    <col min="6920" max="6921" width="8.90625" style="1469"/>
    <col min="6922" max="6922" width="5.7265625" style="1469" customWidth="1"/>
    <col min="6923" max="6923" width="11.7265625" style="1469" customWidth="1"/>
    <col min="6924" max="6925" width="10.7265625" style="1469" customWidth="1"/>
    <col min="6926" max="6926" width="10" style="1469" customWidth="1"/>
    <col min="6927" max="6928" width="10.453125" style="1469" bestFit="1" customWidth="1"/>
    <col min="6929" max="6929" width="10" style="1469" customWidth="1"/>
    <col min="6930" max="6930" width="10.08984375" style="1469" customWidth="1"/>
    <col min="6931" max="6931" width="10" style="1469" customWidth="1"/>
    <col min="6932" max="6932" width="26.08984375" style="1469" customWidth="1"/>
    <col min="6933" max="7168" width="8.90625" style="1469"/>
    <col min="7169" max="7169" width="9.453125" style="1469" customWidth="1"/>
    <col min="7170" max="7170" width="8.90625" style="1469"/>
    <col min="7171" max="7173" width="12.90625" style="1469" customWidth="1"/>
    <col min="7174" max="7174" width="47.453125" style="1469" customWidth="1"/>
    <col min="7175" max="7175" width="13" style="1469" customWidth="1"/>
    <col min="7176" max="7177" width="8.90625" style="1469"/>
    <col min="7178" max="7178" width="5.7265625" style="1469" customWidth="1"/>
    <col min="7179" max="7179" width="11.7265625" style="1469" customWidth="1"/>
    <col min="7180" max="7181" width="10.7265625" style="1469" customWidth="1"/>
    <col min="7182" max="7182" width="10" style="1469" customWidth="1"/>
    <col min="7183" max="7184" width="10.453125" style="1469" bestFit="1" customWidth="1"/>
    <col min="7185" max="7185" width="10" style="1469" customWidth="1"/>
    <col min="7186" max="7186" width="10.08984375" style="1469" customWidth="1"/>
    <col min="7187" max="7187" width="10" style="1469" customWidth="1"/>
    <col min="7188" max="7188" width="26.08984375" style="1469" customWidth="1"/>
    <col min="7189" max="7424" width="8.90625" style="1469"/>
    <col min="7425" max="7425" width="9.453125" style="1469" customWidth="1"/>
    <col min="7426" max="7426" width="8.90625" style="1469"/>
    <col min="7427" max="7429" width="12.90625" style="1469" customWidth="1"/>
    <col min="7430" max="7430" width="47.453125" style="1469" customWidth="1"/>
    <col min="7431" max="7431" width="13" style="1469" customWidth="1"/>
    <col min="7432" max="7433" width="8.90625" style="1469"/>
    <col min="7434" max="7434" width="5.7265625" style="1469" customWidth="1"/>
    <col min="7435" max="7435" width="11.7265625" style="1469" customWidth="1"/>
    <col min="7436" max="7437" width="10.7265625" style="1469" customWidth="1"/>
    <col min="7438" max="7438" width="10" style="1469" customWidth="1"/>
    <col min="7439" max="7440" width="10.453125" style="1469" bestFit="1" customWidth="1"/>
    <col min="7441" max="7441" width="10" style="1469" customWidth="1"/>
    <col min="7442" max="7442" width="10.08984375" style="1469" customWidth="1"/>
    <col min="7443" max="7443" width="10" style="1469" customWidth="1"/>
    <col min="7444" max="7444" width="26.08984375" style="1469" customWidth="1"/>
    <col min="7445" max="7680" width="8.90625" style="1469"/>
    <col min="7681" max="7681" width="9.453125" style="1469" customWidth="1"/>
    <col min="7682" max="7682" width="8.90625" style="1469"/>
    <col min="7683" max="7685" width="12.90625" style="1469" customWidth="1"/>
    <col min="7686" max="7686" width="47.453125" style="1469" customWidth="1"/>
    <col min="7687" max="7687" width="13" style="1469" customWidth="1"/>
    <col min="7688" max="7689" width="8.90625" style="1469"/>
    <col min="7690" max="7690" width="5.7265625" style="1469" customWidth="1"/>
    <col min="7691" max="7691" width="11.7265625" style="1469" customWidth="1"/>
    <col min="7692" max="7693" width="10.7265625" style="1469" customWidth="1"/>
    <col min="7694" max="7694" width="10" style="1469" customWidth="1"/>
    <col min="7695" max="7696" width="10.453125" style="1469" bestFit="1" customWidth="1"/>
    <col min="7697" max="7697" width="10" style="1469" customWidth="1"/>
    <col min="7698" max="7698" width="10.08984375" style="1469" customWidth="1"/>
    <col min="7699" max="7699" width="10" style="1469" customWidth="1"/>
    <col min="7700" max="7700" width="26.08984375" style="1469" customWidth="1"/>
    <col min="7701" max="7936" width="8.90625" style="1469"/>
    <col min="7937" max="7937" width="9.453125" style="1469" customWidth="1"/>
    <col min="7938" max="7938" width="8.90625" style="1469"/>
    <col min="7939" max="7941" width="12.90625" style="1469" customWidth="1"/>
    <col min="7942" max="7942" width="47.453125" style="1469" customWidth="1"/>
    <col min="7943" max="7943" width="13" style="1469" customWidth="1"/>
    <col min="7944" max="7945" width="8.90625" style="1469"/>
    <col min="7946" max="7946" width="5.7265625" style="1469" customWidth="1"/>
    <col min="7947" max="7947" width="11.7265625" style="1469" customWidth="1"/>
    <col min="7948" max="7949" width="10.7265625" style="1469" customWidth="1"/>
    <col min="7950" max="7950" width="10" style="1469" customWidth="1"/>
    <col min="7951" max="7952" width="10.453125" style="1469" bestFit="1" customWidth="1"/>
    <col min="7953" max="7953" width="10" style="1469" customWidth="1"/>
    <col min="7954" max="7954" width="10.08984375" style="1469" customWidth="1"/>
    <col min="7955" max="7955" width="10" style="1469" customWidth="1"/>
    <col min="7956" max="7956" width="26.08984375" style="1469" customWidth="1"/>
    <col min="7957" max="8192" width="8.90625" style="1469"/>
    <col min="8193" max="8193" width="9.453125" style="1469" customWidth="1"/>
    <col min="8194" max="8194" width="8.90625" style="1469"/>
    <col min="8195" max="8197" width="12.90625" style="1469" customWidth="1"/>
    <col min="8198" max="8198" width="47.453125" style="1469" customWidth="1"/>
    <col min="8199" max="8199" width="13" style="1469" customWidth="1"/>
    <col min="8200" max="8201" width="8.90625" style="1469"/>
    <col min="8202" max="8202" width="5.7265625" style="1469" customWidth="1"/>
    <col min="8203" max="8203" width="11.7265625" style="1469" customWidth="1"/>
    <col min="8204" max="8205" width="10.7265625" style="1469" customWidth="1"/>
    <col min="8206" max="8206" width="10" style="1469" customWidth="1"/>
    <col min="8207" max="8208" width="10.453125" style="1469" bestFit="1" customWidth="1"/>
    <col min="8209" max="8209" width="10" style="1469" customWidth="1"/>
    <col min="8210" max="8210" width="10.08984375" style="1469" customWidth="1"/>
    <col min="8211" max="8211" width="10" style="1469" customWidth="1"/>
    <col min="8212" max="8212" width="26.08984375" style="1469" customWidth="1"/>
    <col min="8213" max="8448" width="8.90625" style="1469"/>
    <col min="8449" max="8449" width="9.453125" style="1469" customWidth="1"/>
    <col min="8450" max="8450" width="8.90625" style="1469"/>
    <col min="8451" max="8453" width="12.90625" style="1469" customWidth="1"/>
    <col min="8454" max="8454" width="47.453125" style="1469" customWidth="1"/>
    <col min="8455" max="8455" width="13" style="1469" customWidth="1"/>
    <col min="8456" max="8457" width="8.90625" style="1469"/>
    <col min="8458" max="8458" width="5.7265625" style="1469" customWidth="1"/>
    <col min="8459" max="8459" width="11.7265625" style="1469" customWidth="1"/>
    <col min="8460" max="8461" width="10.7265625" style="1469" customWidth="1"/>
    <col min="8462" max="8462" width="10" style="1469" customWidth="1"/>
    <col min="8463" max="8464" width="10.453125" style="1469" bestFit="1" customWidth="1"/>
    <col min="8465" max="8465" width="10" style="1469" customWidth="1"/>
    <col min="8466" max="8466" width="10.08984375" style="1469" customWidth="1"/>
    <col min="8467" max="8467" width="10" style="1469" customWidth="1"/>
    <col min="8468" max="8468" width="26.08984375" style="1469" customWidth="1"/>
    <col min="8469" max="8704" width="8.90625" style="1469"/>
    <col min="8705" max="8705" width="9.453125" style="1469" customWidth="1"/>
    <col min="8706" max="8706" width="8.90625" style="1469"/>
    <col min="8707" max="8709" width="12.90625" style="1469" customWidth="1"/>
    <col min="8710" max="8710" width="47.453125" style="1469" customWidth="1"/>
    <col min="8711" max="8711" width="13" style="1469" customWidth="1"/>
    <col min="8712" max="8713" width="8.90625" style="1469"/>
    <col min="8714" max="8714" width="5.7265625" style="1469" customWidth="1"/>
    <col min="8715" max="8715" width="11.7265625" style="1469" customWidth="1"/>
    <col min="8716" max="8717" width="10.7265625" style="1469" customWidth="1"/>
    <col min="8718" max="8718" width="10" style="1469" customWidth="1"/>
    <col min="8719" max="8720" width="10.453125" style="1469" bestFit="1" customWidth="1"/>
    <col min="8721" max="8721" width="10" style="1469" customWidth="1"/>
    <col min="8722" max="8722" width="10.08984375" style="1469" customWidth="1"/>
    <col min="8723" max="8723" width="10" style="1469" customWidth="1"/>
    <col min="8724" max="8724" width="26.08984375" style="1469" customWidth="1"/>
    <col min="8725" max="8960" width="8.90625" style="1469"/>
    <col min="8961" max="8961" width="9.453125" style="1469" customWidth="1"/>
    <col min="8962" max="8962" width="8.90625" style="1469"/>
    <col min="8963" max="8965" width="12.90625" style="1469" customWidth="1"/>
    <col min="8966" max="8966" width="47.453125" style="1469" customWidth="1"/>
    <col min="8967" max="8967" width="13" style="1469" customWidth="1"/>
    <col min="8968" max="8969" width="8.90625" style="1469"/>
    <col min="8970" max="8970" width="5.7265625" style="1469" customWidth="1"/>
    <col min="8971" max="8971" width="11.7265625" style="1469" customWidth="1"/>
    <col min="8972" max="8973" width="10.7265625" style="1469" customWidth="1"/>
    <col min="8974" max="8974" width="10" style="1469" customWidth="1"/>
    <col min="8975" max="8976" width="10.453125" style="1469" bestFit="1" customWidth="1"/>
    <col min="8977" max="8977" width="10" style="1469" customWidth="1"/>
    <col min="8978" max="8978" width="10.08984375" style="1469" customWidth="1"/>
    <col min="8979" max="8979" width="10" style="1469" customWidth="1"/>
    <col min="8980" max="8980" width="26.08984375" style="1469" customWidth="1"/>
    <col min="8981" max="9216" width="8.90625" style="1469"/>
    <col min="9217" max="9217" width="9.453125" style="1469" customWidth="1"/>
    <col min="9218" max="9218" width="8.90625" style="1469"/>
    <col min="9219" max="9221" width="12.90625" style="1469" customWidth="1"/>
    <col min="9222" max="9222" width="47.453125" style="1469" customWidth="1"/>
    <col min="9223" max="9223" width="13" style="1469" customWidth="1"/>
    <col min="9224" max="9225" width="8.90625" style="1469"/>
    <col min="9226" max="9226" width="5.7265625" style="1469" customWidth="1"/>
    <col min="9227" max="9227" width="11.7265625" style="1469" customWidth="1"/>
    <col min="9228" max="9229" width="10.7265625" style="1469" customWidth="1"/>
    <col min="9230" max="9230" width="10" style="1469" customWidth="1"/>
    <col min="9231" max="9232" width="10.453125" style="1469" bestFit="1" customWidth="1"/>
    <col min="9233" max="9233" width="10" style="1469" customWidth="1"/>
    <col min="9234" max="9234" width="10.08984375" style="1469" customWidth="1"/>
    <col min="9235" max="9235" width="10" style="1469" customWidth="1"/>
    <col min="9236" max="9236" width="26.08984375" style="1469" customWidth="1"/>
    <col min="9237" max="9472" width="8.90625" style="1469"/>
    <col min="9473" max="9473" width="9.453125" style="1469" customWidth="1"/>
    <col min="9474" max="9474" width="8.90625" style="1469"/>
    <col min="9475" max="9477" width="12.90625" style="1469" customWidth="1"/>
    <col min="9478" max="9478" width="47.453125" style="1469" customWidth="1"/>
    <col min="9479" max="9479" width="13" style="1469" customWidth="1"/>
    <col min="9480" max="9481" width="8.90625" style="1469"/>
    <col min="9482" max="9482" width="5.7265625" style="1469" customWidth="1"/>
    <col min="9483" max="9483" width="11.7265625" style="1469" customWidth="1"/>
    <col min="9484" max="9485" width="10.7265625" style="1469" customWidth="1"/>
    <col min="9486" max="9486" width="10" style="1469" customWidth="1"/>
    <col min="9487" max="9488" width="10.453125" style="1469" bestFit="1" customWidth="1"/>
    <col min="9489" max="9489" width="10" style="1469" customWidth="1"/>
    <col min="9490" max="9490" width="10.08984375" style="1469" customWidth="1"/>
    <col min="9491" max="9491" width="10" style="1469" customWidth="1"/>
    <col min="9492" max="9492" width="26.08984375" style="1469" customWidth="1"/>
    <col min="9493" max="9728" width="8.90625" style="1469"/>
    <col min="9729" max="9729" width="9.453125" style="1469" customWidth="1"/>
    <col min="9730" max="9730" width="8.90625" style="1469"/>
    <col min="9731" max="9733" width="12.90625" style="1469" customWidth="1"/>
    <col min="9734" max="9734" width="47.453125" style="1469" customWidth="1"/>
    <col min="9735" max="9735" width="13" style="1469" customWidth="1"/>
    <col min="9736" max="9737" width="8.90625" style="1469"/>
    <col min="9738" max="9738" width="5.7265625" style="1469" customWidth="1"/>
    <col min="9739" max="9739" width="11.7265625" style="1469" customWidth="1"/>
    <col min="9740" max="9741" width="10.7265625" style="1469" customWidth="1"/>
    <col min="9742" max="9742" width="10" style="1469" customWidth="1"/>
    <col min="9743" max="9744" width="10.453125" style="1469" bestFit="1" customWidth="1"/>
    <col min="9745" max="9745" width="10" style="1469" customWidth="1"/>
    <col min="9746" max="9746" width="10.08984375" style="1469" customWidth="1"/>
    <col min="9747" max="9747" width="10" style="1469" customWidth="1"/>
    <col min="9748" max="9748" width="26.08984375" style="1469" customWidth="1"/>
    <col min="9749" max="9984" width="8.90625" style="1469"/>
    <col min="9985" max="9985" width="9.453125" style="1469" customWidth="1"/>
    <col min="9986" max="9986" width="8.90625" style="1469"/>
    <col min="9987" max="9989" width="12.90625" style="1469" customWidth="1"/>
    <col min="9990" max="9990" width="47.453125" style="1469" customWidth="1"/>
    <col min="9991" max="9991" width="13" style="1469" customWidth="1"/>
    <col min="9992" max="9993" width="8.90625" style="1469"/>
    <col min="9994" max="9994" width="5.7265625" style="1469" customWidth="1"/>
    <col min="9995" max="9995" width="11.7265625" style="1469" customWidth="1"/>
    <col min="9996" max="9997" width="10.7265625" style="1469" customWidth="1"/>
    <col min="9998" max="9998" width="10" style="1469" customWidth="1"/>
    <col min="9999" max="10000" width="10.453125" style="1469" bestFit="1" customWidth="1"/>
    <col min="10001" max="10001" width="10" style="1469" customWidth="1"/>
    <col min="10002" max="10002" width="10.08984375" style="1469" customWidth="1"/>
    <col min="10003" max="10003" width="10" style="1469" customWidth="1"/>
    <col min="10004" max="10004" width="26.08984375" style="1469" customWidth="1"/>
    <col min="10005" max="10240" width="8.90625" style="1469"/>
    <col min="10241" max="10241" width="9.453125" style="1469" customWidth="1"/>
    <col min="10242" max="10242" width="8.90625" style="1469"/>
    <col min="10243" max="10245" width="12.90625" style="1469" customWidth="1"/>
    <col min="10246" max="10246" width="47.453125" style="1469" customWidth="1"/>
    <col min="10247" max="10247" width="13" style="1469" customWidth="1"/>
    <col min="10248" max="10249" width="8.90625" style="1469"/>
    <col min="10250" max="10250" width="5.7265625" style="1469" customWidth="1"/>
    <col min="10251" max="10251" width="11.7265625" style="1469" customWidth="1"/>
    <col min="10252" max="10253" width="10.7265625" style="1469" customWidth="1"/>
    <col min="10254" max="10254" width="10" style="1469" customWidth="1"/>
    <col min="10255" max="10256" width="10.453125" style="1469" bestFit="1" customWidth="1"/>
    <col min="10257" max="10257" width="10" style="1469" customWidth="1"/>
    <col min="10258" max="10258" width="10.08984375" style="1469" customWidth="1"/>
    <col min="10259" max="10259" width="10" style="1469" customWidth="1"/>
    <col min="10260" max="10260" width="26.08984375" style="1469" customWidth="1"/>
    <col min="10261" max="10496" width="8.90625" style="1469"/>
    <col min="10497" max="10497" width="9.453125" style="1469" customWidth="1"/>
    <col min="10498" max="10498" width="8.90625" style="1469"/>
    <col min="10499" max="10501" width="12.90625" style="1469" customWidth="1"/>
    <col min="10502" max="10502" width="47.453125" style="1469" customWidth="1"/>
    <col min="10503" max="10503" width="13" style="1469" customWidth="1"/>
    <col min="10504" max="10505" width="8.90625" style="1469"/>
    <col min="10506" max="10506" width="5.7265625" style="1469" customWidth="1"/>
    <col min="10507" max="10507" width="11.7265625" style="1469" customWidth="1"/>
    <col min="10508" max="10509" width="10.7265625" style="1469" customWidth="1"/>
    <col min="10510" max="10510" width="10" style="1469" customWidth="1"/>
    <col min="10511" max="10512" width="10.453125" style="1469" bestFit="1" customWidth="1"/>
    <col min="10513" max="10513" width="10" style="1469" customWidth="1"/>
    <col min="10514" max="10514" width="10.08984375" style="1469" customWidth="1"/>
    <col min="10515" max="10515" width="10" style="1469" customWidth="1"/>
    <col min="10516" max="10516" width="26.08984375" style="1469" customWidth="1"/>
    <col min="10517" max="10752" width="8.90625" style="1469"/>
    <col min="10753" max="10753" width="9.453125" style="1469" customWidth="1"/>
    <col min="10754" max="10754" width="8.90625" style="1469"/>
    <col min="10755" max="10757" width="12.90625" style="1469" customWidth="1"/>
    <col min="10758" max="10758" width="47.453125" style="1469" customWidth="1"/>
    <col min="10759" max="10759" width="13" style="1469" customWidth="1"/>
    <col min="10760" max="10761" width="8.90625" style="1469"/>
    <col min="10762" max="10762" width="5.7265625" style="1469" customWidth="1"/>
    <col min="10763" max="10763" width="11.7265625" style="1469" customWidth="1"/>
    <col min="10764" max="10765" width="10.7265625" style="1469" customWidth="1"/>
    <col min="10766" max="10766" width="10" style="1469" customWidth="1"/>
    <col min="10767" max="10768" width="10.453125" style="1469" bestFit="1" customWidth="1"/>
    <col min="10769" max="10769" width="10" style="1469" customWidth="1"/>
    <col min="10770" max="10770" width="10.08984375" style="1469" customWidth="1"/>
    <col min="10771" max="10771" width="10" style="1469" customWidth="1"/>
    <col min="10772" max="10772" width="26.08984375" style="1469" customWidth="1"/>
    <col min="10773" max="11008" width="8.90625" style="1469"/>
    <col min="11009" max="11009" width="9.453125" style="1469" customWidth="1"/>
    <col min="11010" max="11010" width="8.90625" style="1469"/>
    <col min="11011" max="11013" width="12.90625" style="1469" customWidth="1"/>
    <col min="11014" max="11014" width="47.453125" style="1469" customWidth="1"/>
    <col min="11015" max="11015" width="13" style="1469" customWidth="1"/>
    <col min="11016" max="11017" width="8.90625" style="1469"/>
    <col min="11018" max="11018" width="5.7265625" style="1469" customWidth="1"/>
    <col min="11019" max="11019" width="11.7265625" style="1469" customWidth="1"/>
    <col min="11020" max="11021" width="10.7265625" style="1469" customWidth="1"/>
    <col min="11022" max="11022" width="10" style="1469" customWidth="1"/>
    <col min="11023" max="11024" width="10.453125" style="1469" bestFit="1" customWidth="1"/>
    <col min="11025" max="11025" width="10" style="1469" customWidth="1"/>
    <col min="11026" max="11026" width="10.08984375" style="1469" customWidth="1"/>
    <col min="11027" max="11027" width="10" style="1469" customWidth="1"/>
    <col min="11028" max="11028" width="26.08984375" style="1469" customWidth="1"/>
    <col min="11029" max="11264" width="8.90625" style="1469"/>
    <col min="11265" max="11265" width="9.453125" style="1469" customWidth="1"/>
    <col min="11266" max="11266" width="8.90625" style="1469"/>
    <col min="11267" max="11269" width="12.90625" style="1469" customWidth="1"/>
    <col min="11270" max="11270" width="47.453125" style="1469" customWidth="1"/>
    <col min="11271" max="11271" width="13" style="1469" customWidth="1"/>
    <col min="11272" max="11273" width="8.90625" style="1469"/>
    <col min="11274" max="11274" width="5.7265625" style="1469" customWidth="1"/>
    <col min="11275" max="11275" width="11.7265625" style="1469" customWidth="1"/>
    <col min="11276" max="11277" width="10.7265625" style="1469" customWidth="1"/>
    <col min="11278" max="11278" width="10" style="1469" customWidth="1"/>
    <col min="11279" max="11280" width="10.453125" style="1469" bestFit="1" customWidth="1"/>
    <col min="11281" max="11281" width="10" style="1469" customWidth="1"/>
    <col min="11282" max="11282" width="10.08984375" style="1469" customWidth="1"/>
    <col min="11283" max="11283" width="10" style="1469" customWidth="1"/>
    <col min="11284" max="11284" width="26.08984375" style="1469" customWidth="1"/>
    <col min="11285" max="11520" width="8.90625" style="1469"/>
    <col min="11521" max="11521" width="9.453125" style="1469" customWidth="1"/>
    <col min="11522" max="11522" width="8.90625" style="1469"/>
    <col min="11523" max="11525" width="12.90625" style="1469" customWidth="1"/>
    <col min="11526" max="11526" width="47.453125" style="1469" customWidth="1"/>
    <col min="11527" max="11527" width="13" style="1469" customWidth="1"/>
    <col min="11528" max="11529" width="8.90625" style="1469"/>
    <col min="11530" max="11530" width="5.7265625" style="1469" customWidth="1"/>
    <col min="11531" max="11531" width="11.7265625" style="1469" customWidth="1"/>
    <col min="11532" max="11533" width="10.7265625" style="1469" customWidth="1"/>
    <col min="11534" max="11534" width="10" style="1469" customWidth="1"/>
    <col min="11535" max="11536" width="10.453125" style="1469" bestFit="1" customWidth="1"/>
    <col min="11537" max="11537" width="10" style="1469" customWidth="1"/>
    <col min="11538" max="11538" width="10.08984375" style="1469" customWidth="1"/>
    <col min="11539" max="11539" width="10" style="1469" customWidth="1"/>
    <col min="11540" max="11540" width="26.08984375" style="1469" customWidth="1"/>
    <col min="11541" max="11776" width="8.90625" style="1469"/>
    <col min="11777" max="11777" width="9.453125" style="1469" customWidth="1"/>
    <col min="11778" max="11778" width="8.90625" style="1469"/>
    <col min="11779" max="11781" width="12.90625" style="1469" customWidth="1"/>
    <col min="11782" max="11782" width="47.453125" style="1469" customWidth="1"/>
    <col min="11783" max="11783" width="13" style="1469" customWidth="1"/>
    <col min="11784" max="11785" width="8.90625" style="1469"/>
    <col min="11786" max="11786" width="5.7265625" style="1469" customWidth="1"/>
    <col min="11787" max="11787" width="11.7265625" style="1469" customWidth="1"/>
    <col min="11788" max="11789" width="10.7265625" style="1469" customWidth="1"/>
    <col min="11790" max="11790" width="10" style="1469" customWidth="1"/>
    <col min="11791" max="11792" width="10.453125" style="1469" bestFit="1" customWidth="1"/>
    <col min="11793" max="11793" width="10" style="1469" customWidth="1"/>
    <col min="11794" max="11794" width="10.08984375" style="1469" customWidth="1"/>
    <col min="11795" max="11795" width="10" style="1469" customWidth="1"/>
    <col min="11796" max="11796" width="26.08984375" style="1469" customWidth="1"/>
    <col min="11797" max="12032" width="8.90625" style="1469"/>
    <col min="12033" max="12033" width="9.453125" style="1469" customWidth="1"/>
    <col min="12034" max="12034" width="8.90625" style="1469"/>
    <col min="12035" max="12037" width="12.90625" style="1469" customWidth="1"/>
    <col min="12038" max="12038" width="47.453125" style="1469" customWidth="1"/>
    <col min="12039" max="12039" width="13" style="1469" customWidth="1"/>
    <col min="12040" max="12041" width="8.90625" style="1469"/>
    <col min="12042" max="12042" width="5.7265625" style="1469" customWidth="1"/>
    <col min="12043" max="12043" width="11.7265625" style="1469" customWidth="1"/>
    <col min="12044" max="12045" width="10.7265625" style="1469" customWidth="1"/>
    <col min="12046" max="12046" width="10" style="1469" customWidth="1"/>
    <col min="12047" max="12048" width="10.453125" style="1469" bestFit="1" customWidth="1"/>
    <col min="12049" max="12049" width="10" style="1469" customWidth="1"/>
    <col min="12050" max="12050" width="10.08984375" style="1469" customWidth="1"/>
    <col min="12051" max="12051" width="10" style="1469" customWidth="1"/>
    <col min="12052" max="12052" width="26.08984375" style="1469" customWidth="1"/>
    <col min="12053" max="12288" width="8.90625" style="1469"/>
    <col min="12289" max="12289" width="9.453125" style="1469" customWidth="1"/>
    <col min="12290" max="12290" width="8.90625" style="1469"/>
    <col min="12291" max="12293" width="12.90625" style="1469" customWidth="1"/>
    <col min="12294" max="12294" width="47.453125" style="1469" customWidth="1"/>
    <col min="12295" max="12295" width="13" style="1469" customWidth="1"/>
    <col min="12296" max="12297" width="8.90625" style="1469"/>
    <col min="12298" max="12298" width="5.7265625" style="1469" customWidth="1"/>
    <col min="12299" max="12299" width="11.7265625" style="1469" customWidth="1"/>
    <col min="12300" max="12301" width="10.7265625" style="1469" customWidth="1"/>
    <col min="12302" max="12302" width="10" style="1469" customWidth="1"/>
    <col min="12303" max="12304" width="10.453125" style="1469" bestFit="1" customWidth="1"/>
    <col min="12305" max="12305" width="10" style="1469" customWidth="1"/>
    <col min="12306" max="12306" width="10.08984375" style="1469" customWidth="1"/>
    <col min="12307" max="12307" width="10" style="1469" customWidth="1"/>
    <col min="12308" max="12308" width="26.08984375" style="1469" customWidth="1"/>
    <col min="12309" max="12544" width="8.90625" style="1469"/>
    <col min="12545" max="12545" width="9.453125" style="1469" customWidth="1"/>
    <col min="12546" max="12546" width="8.90625" style="1469"/>
    <col min="12547" max="12549" width="12.90625" style="1469" customWidth="1"/>
    <col min="12550" max="12550" width="47.453125" style="1469" customWidth="1"/>
    <col min="12551" max="12551" width="13" style="1469" customWidth="1"/>
    <col min="12552" max="12553" width="8.90625" style="1469"/>
    <col min="12554" max="12554" width="5.7265625" style="1469" customWidth="1"/>
    <col min="12555" max="12555" width="11.7265625" style="1469" customWidth="1"/>
    <col min="12556" max="12557" width="10.7265625" style="1469" customWidth="1"/>
    <col min="12558" max="12558" width="10" style="1469" customWidth="1"/>
    <col min="12559" max="12560" width="10.453125" style="1469" bestFit="1" customWidth="1"/>
    <col min="12561" max="12561" width="10" style="1469" customWidth="1"/>
    <col min="12562" max="12562" width="10.08984375" style="1469" customWidth="1"/>
    <col min="12563" max="12563" width="10" style="1469" customWidth="1"/>
    <col min="12564" max="12564" width="26.08984375" style="1469" customWidth="1"/>
    <col min="12565" max="12800" width="8.90625" style="1469"/>
    <col min="12801" max="12801" width="9.453125" style="1469" customWidth="1"/>
    <col min="12802" max="12802" width="8.90625" style="1469"/>
    <col min="12803" max="12805" width="12.90625" style="1469" customWidth="1"/>
    <col min="12806" max="12806" width="47.453125" style="1469" customWidth="1"/>
    <col min="12807" max="12807" width="13" style="1469" customWidth="1"/>
    <col min="12808" max="12809" width="8.90625" style="1469"/>
    <col min="12810" max="12810" width="5.7265625" style="1469" customWidth="1"/>
    <col min="12811" max="12811" width="11.7265625" style="1469" customWidth="1"/>
    <col min="12812" max="12813" width="10.7265625" style="1469" customWidth="1"/>
    <col min="12814" max="12814" width="10" style="1469" customWidth="1"/>
    <col min="12815" max="12816" width="10.453125" style="1469" bestFit="1" customWidth="1"/>
    <col min="12817" max="12817" width="10" style="1469" customWidth="1"/>
    <col min="12818" max="12818" width="10.08984375" style="1469" customWidth="1"/>
    <col min="12819" max="12819" width="10" style="1469" customWidth="1"/>
    <col min="12820" max="12820" width="26.08984375" style="1469" customWidth="1"/>
    <col min="12821" max="13056" width="8.90625" style="1469"/>
    <col min="13057" max="13057" width="9.453125" style="1469" customWidth="1"/>
    <col min="13058" max="13058" width="8.90625" style="1469"/>
    <col min="13059" max="13061" width="12.90625" style="1469" customWidth="1"/>
    <col min="13062" max="13062" width="47.453125" style="1469" customWidth="1"/>
    <col min="13063" max="13063" width="13" style="1469" customWidth="1"/>
    <col min="13064" max="13065" width="8.90625" style="1469"/>
    <col min="13066" max="13066" width="5.7265625" style="1469" customWidth="1"/>
    <col min="13067" max="13067" width="11.7265625" style="1469" customWidth="1"/>
    <col min="13068" max="13069" width="10.7265625" style="1469" customWidth="1"/>
    <col min="13070" max="13070" width="10" style="1469" customWidth="1"/>
    <col min="13071" max="13072" width="10.453125" style="1469" bestFit="1" customWidth="1"/>
    <col min="13073" max="13073" width="10" style="1469" customWidth="1"/>
    <col min="13074" max="13074" width="10.08984375" style="1469" customWidth="1"/>
    <col min="13075" max="13075" width="10" style="1469" customWidth="1"/>
    <col min="13076" max="13076" width="26.08984375" style="1469" customWidth="1"/>
    <col min="13077" max="13312" width="8.90625" style="1469"/>
    <col min="13313" max="13313" width="9.453125" style="1469" customWidth="1"/>
    <col min="13314" max="13314" width="8.90625" style="1469"/>
    <col min="13315" max="13317" width="12.90625" style="1469" customWidth="1"/>
    <col min="13318" max="13318" width="47.453125" style="1469" customWidth="1"/>
    <col min="13319" max="13319" width="13" style="1469" customWidth="1"/>
    <col min="13320" max="13321" width="8.90625" style="1469"/>
    <col min="13322" max="13322" width="5.7265625" style="1469" customWidth="1"/>
    <col min="13323" max="13323" width="11.7265625" style="1469" customWidth="1"/>
    <col min="13324" max="13325" width="10.7265625" style="1469" customWidth="1"/>
    <col min="13326" max="13326" width="10" style="1469" customWidth="1"/>
    <col min="13327" max="13328" width="10.453125" style="1469" bestFit="1" customWidth="1"/>
    <col min="13329" max="13329" width="10" style="1469" customWidth="1"/>
    <col min="13330" max="13330" width="10.08984375" style="1469" customWidth="1"/>
    <col min="13331" max="13331" width="10" style="1469" customWidth="1"/>
    <col min="13332" max="13332" width="26.08984375" style="1469" customWidth="1"/>
    <col min="13333" max="13568" width="8.90625" style="1469"/>
    <col min="13569" max="13569" width="9.453125" style="1469" customWidth="1"/>
    <col min="13570" max="13570" width="8.90625" style="1469"/>
    <col min="13571" max="13573" width="12.90625" style="1469" customWidth="1"/>
    <col min="13574" max="13574" width="47.453125" style="1469" customWidth="1"/>
    <col min="13575" max="13575" width="13" style="1469" customWidth="1"/>
    <col min="13576" max="13577" width="8.90625" style="1469"/>
    <col min="13578" max="13578" width="5.7265625" style="1469" customWidth="1"/>
    <col min="13579" max="13579" width="11.7265625" style="1469" customWidth="1"/>
    <col min="13580" max="13581" width="10.7265625" style="1469" customWidth="1"/>
    <col min="13582" max="13582" width="10" style="1469" customWidth="1"/>
    <col min="13583" max="13584" width="10.453125" style="1469" bestFit="1" customWidth="1"/>
    <col min="13585" max="13585" width="10" style="1469" customWidth="1"/>
    <col min="13586" max="13586" width="10.08984375" style="1469" customWidth="1"/>
    <col min="13587" max="13587" width="10" style="1469" customWidth="1"/>
    <col min="13588" max="13588" width="26.08984375" style="1469" customWidth="1"/>
    <col min="13589" max="13824" width="8.90625" style="1469"/>
    <col min="13825" max="13825" width="9.453125" style="1469" customWidth="1"/>
    <col min="13826" max="13826" width="8.90625" style="1469"/>
    <col min="13827" max="13829" width="12.90625" style="1469" customWidth="1"/>
    <col min="13830" max="13830" width="47.453125" style="1469" customWidth="1"/>
    <col min="13831" max="13831" width="13" style="1469" customWidth="1"/>
    <col min="13832" max="13833" width="8.90625" style="1469"/>
    <col min="13834" max="13834" width="5.7265625" style="1469" customWidth="1"/>
    <col min="13835" max="13835" width="11.7265625" style="1469" customWidth="1"/>
    <col min="13836" max="13837" width="10.7265625" style="1469" customWidth="1"/>
    <col min="13838" max="13838" width="10" style="1469" customWidth="1"/>
    <col min="13839" max="13840" width="10.453125" style="1469" bestFit="1" customWidth="1"/>
    <col min="13841" max="13841" width="10" style="1469" customWidth="1"/>
    <col min="13842" max="13842" width="10.08984375" style="1469" customWidth="1"/>
    <col min="13843" max="13843" width="10" style="1469" customWidth="1"/>
    <col min="13844" max="13844" width="26.08984375" style="1469" customWidth="1"/>
    <col min="13845" max="14080" width="8.90625" style="1469"/>
    <col min="14081" max="14081" width="9.453125" style="1469" customWidth="1"/>
    <col min="14082" max="14082" width="8.90625" style="1469"/>
    <col min="14083" max="14085" width="12.90625" style="1469" customWidth="1"/>
    <col min="14086" max="14086" width="47.453125" style="1469" customWidth="1"/>
    <col min="14087" max="14087" width="13" style="1469" customWidth="1"/>
    <col min="14088" max="14089" width="8.90625" style="1469"/>
    <col min="14090" max="14090" width="5.7265625" style="1469" customWidth="1"/>
    <col min="14091" max="14091" width="11.7265625" style="1469" customWidth="1"/>
    <col min="14092" max="14093" width="10.7265625" style="1469" customWidth="1"/>
    <col min="14094" max="14094" width="10" style="1469" customWidth="1"/>
    <col min="14095" max="14096" width="10.453125" style="1469" bestFit="1" customWidth="1"/>
    <col min="14097" max="14097" width="10" style="1469" customWidth="1"/>
    <col min="14098" max="14098" width="10.08984375" style="1469" customWidth="1"/>
    <col min="14099" max="14099" width="10" style="1469" customWidth="1"/>
    <col min="14100" max="14100" width="26.08984375" style="1469" customWidth="1"/>
    <col min="14101" max="14336" width="8.90625" style="1469"/>
    <col min="14337" max="14337" width="9.453125" style="1469" customWidth="1"/>
    <col min="14338" max="14338" width="8.90625" style="1469"/>
    <col min="14339" max="14341" width="12.90625" style="1469" customWidth="1"/>
    <col min="14342" max="14342" width="47.453125" style="1469" customWidth="1"/>
    <col min="14343" max="14343" width="13" style="1469" customWidth="1"/>
    <col min="14344" max="14345" width="8.90625" style="1469"/>
    <col min="14346" max="14346" width="5.7265625" style="1469" customWidth="1"/>
    <col min="14347" max="14347" width="11.7265625" style="1469" customWidth="1"/>
    <col min="14348" max="14349" width="10.7265625" style="1469" customWidth="1"/>
    <col min="14350" max="14350" width="10" style="1469" customWidth="1"/>
    <col min="14351" max="14352" width="10.453125" style="1469" bestFit="1" customWidth="1"/>
    <col min="14353" max="14353" width="10" style="1469" customWidth="1"/>
    <col min="14354" max="14354" width="10.08984375" style="1469" customWidth="1"/>
    <col min="14355" max="14355" width="10" style="1469" customWidth="1"/>
    <col min="14356" max="14356" width="26.08984375" style="1469" customWidth="1"/>
    <col min="14357" max="14592" width="8.90625" style="1469"/>
    <col min="14593" max="14593" width="9.453125" style="1469" customWidth="1"/>
    <col min="14594" max="14594" width="8.90625" style="1469"/>
    <col min="14595" max="14597" width="12.90625" style="1469" customWidth="1"/>
    <col min="14598" max="14598" width="47.453125" style="1469" customWidth="1"/>
    <col min="14599" max="14599" width="13" style="1469" customWidth="1"/>
    <col min="14600" max="14601" width="8.90625" style="1469"/>
    <col min="14602" max="14602" width="5.7265625" style="1469" customWidth="1"/>
    <col min="14603" max="14603" width="11.7265625" style="1469" customWidth="1"/>
    <col min="14604" max="14605" width="10.7265625" style="1469" customWidth="1"/>
    <col min="14606" max="14606" width="10" style="1469" customWidth="1"/>
    <col min="14607" max="14608" width="10.453125" style="1469" bestFit="1" customWidth="1"/>
    <col min="14609" max="14609" width="10" style="1469" customWidth="1"/>
    <col min="14610" max="14610" width="10.08984375" style="1469" customWidth="1"/>
    <col min="14611" max="14611" width="10" style="1469" customWidth="1"/>
    <col min="14612" max="14612" width="26.08984375" style="1469" customWidth="1"/>
    <col min="14613" max="14848" width="8.90625" style="1469"/>
    <col min="14849" max="14849" width="9.453125" style="1469" customWidth="1"/>
    <col min="14850" max="14850" width="8.90625" style="1469"/>
    <col min="14851" max="14853" width="12.90625" style="1469" customWidth="1"/>
    <col min="14854" max="14854" width="47.453125" style="1469" customWidth="1"/>
    <col min="14855" max="14855" width="13" style="1469" customWidth="1"/>
    <col min="14856" max="14857" width="8.90625" style="1469"/>
    <col min="14858" max="14858" width="5.7265625" style="1469" customWidth="1"/>
    <col min="14859" max="14859" width="11.7265625" style="1469" customWidth="1"/>
    <col min="14860" max="14861" width="10.7265625" style="1469" customWidth="1"/>
    <col min="14862" max="14862" width="10" style="1469" customWidth="1"/>
    <col min="14863" max="14864" width="10.453125" style="1469" bestFit="1" customWidth="1"/>
    <col min="14865" max="14865" width="10" style="1469" customWidth="1"/>
    <col min="14866" max="14866" width="10.08984375" style="1469" customWidth="1"/>
    <col min="14867" max="14867" width="10" style="1469" customWidth="1"/>
    <col min="14868" max="14868" width="26.08984375" style="1469" customWidth="1"/>
    <col min="14869" max="15104" width="8.90625" style="1469"/>
    <col min="15105" max="15105" width="9.453125" style="1469" customWidth="1"/>
    <col min="15106" max="15106" width="8.90625" style="1469"/>
    <col min="15107" max="15109" width="12.90625" style="1469" customWidth="1"/>
    <col min="15110" max="15110" width="47.453125" style="1469" customWidth="1"/>
    <col min="15111" max="15111" width="13" style="1469" customWidth="1"/>
    <col min="15112" max="15113" width="8.90625" style="1469"/>
    <col min="15114" max="15114" width="5.7265625" style="1469" customWidth="1"/>
    <col min="15115" max="15115" width="11.7265625" style="1469" customWidth="1"/>
    <col min="15116" max="15117" width="10.7265625" style="1469" customWidth="1"/>
    <col min="15118" max="15118" width="10" style="1469" customWidth="1"/>
    <col min="15119" max="15120" width="10.453125" style="1469" bestFit="1" customWidth="1"/>
    <col min="15121" max="15121" width="10" style="1469" customWidth="1"/>
    <col min="15122" max="15122" width="10.08984375" style="1469" customWidth="1"/>
    <col min="15123" max="15123" width="10" style="1469" customWidth="1"/>
    <col min="15124" max="15124" width="26.08984375" style="1469" customWidth="1"/>
    <col min="15125" max="15360" width="8.90625" style="1469"/>
    <col min="15361" max="15361" width="9.453125" style="1469" customWidth="1"/>
    <col min="15362" max="15362" width="8.90625" style="1469"/>
    <col min="15363" max="15365" width="12.90625" style="1469" customWidth="1"/>
    <col min="15366" max="15366" width="47.453125" style="1469" customWidth="1"/>
    <col min="15367" max="15367" width="13" style="1469" customWidth="1"/>
    <col min="15368" max="15369" width="8.90625" style="1469"/>
    <col min="15370" max="15370" width="5.7265625" style="1469" customWidth="1"/>
    <col min="15371" max="15371" width="11.7265625" style="1469" customWidth="1"/>
    <col min="15372" max="15373" width="10.7265625" style="1469" customWidth="1"/>
    <col min="15374" max="15374" width="10" style="1469" customWidth="1"/>
    <col min="15375" max="15376" width="10.453125" style="1469" bestFit="1" customWidth="1"/>
    <col min="15377" max="15377" width="10" style="1469" customWidth="1"/>
    <col min="15378" max="15378" width="10.08984375" style="1469" customWidth="1"/>
    <col min="15379" max="15379" width="10" style="1469" customWidth="1"/>
    <col min="15380" max="15380" width="26.08984375" style="1469" customWidth="1"/>
    <col min="15381" max="15616" width="8.90625" style="1469"/>
    <col min="15617" max="15617" width="9.453125" style="1469" customWidth="1"/>
    <col min="15618" max="15618" width="8.90625" style="1469"/>
    <col min="15619" max="15621" width="12.90625" style="1469" customWidth="1"/>
    <col min="15622" max="15622" width="47.453125" style="1469" customWidth="1"/>
    <col min="15623" max="15623" width="13" style="1469" customWidth="1"/>
    <col min="15624" max="15625" width="8.90625" style="1469"/>
    <col min="15626" max="15626" width="5.7265625" style="1469" customWidth="1"/>
    <col min="15627" max="15627" width="11.7265625" style="1469" customWidth="1"/>
    <col min="15628" max="15629" width="10.7265625" style="1469" customWidth="1"/>
    <col min="15630" max="15630" width="10" style="1469" customWidth="1"/>
    <col min="15631" max="15632" width="10.453125" style="1469" bestFit="1" customWidth="1"/>
    <col min="15633" max="15633" width="10" style="1469" customWidth="1"/>
    <col min="15634" max="15634" width="10.08984375" style="1469" customWidth="1"/>
    <col min="15635" max="15635" width="10" style="1469" customWidth="1"/>
    <col min="15636" max="15636" width="26.08984375" style="1469" customWidth="1"/>
    <col min="15637" max="15872" width="8.90625" style="1469"/>
    <col min="15873" max="15873" width="9.453125" style="1469" customWidth="1"/>
    <col min="15874" max="15874" width="8.90625" style="1469"/>
    <col min="15875" max="15877" width="12.90625" style="1469" customWidth="1"/>
    <col min="15878" max="15878" width="47.453125" style="1469" customWidth="1"/>
    <col min="15879" max="15879" width="13" style="1469" customWidth="1"/>
    <col min="15880" max="15881" width="8.90625" style="1469"/>
    <col min="15882" max="15882" width="5.7265625" style="1469" customWidth="1"/>
    <col min="15883" max="15883" width="11.7265625" style="1469" customWidth="1"/>
    <col min="15884" max="15885" width="10.7265625" style="1469" customWidth="1"/>
    <col min="15886" max="15886" width="10" style="1469" customWidth="1"/>
    <col min="15887" max="15888" width="10.453125" style="1469" bestFit="1" customWidth="1"/>
    <col min="15889" max="15889" width="10" style="1469" customWidth="1"/>
    <col min="15890" max="15890" width="10.08984375" style="1469" customWidth="1"/>
    <col min="15891" max="15891" width="10" style="1469" customWidth="1"/>
    <col min="15892" max="15892" width="26.08984375" style="1469" customWidth="1"/>
    <col min="15893" max="16128" width="8.90625" style="1469"/>
    <col min="16129" max="16129" width="9.453125" style="1469" customWidth="1"/>
    <col min="16130" max="16130" width="8.90625" style="1469"/>
    <col min="16131" max="16133" width="12.90625" style="1469" customWidth="1"/>
    <col min="16134" max="16134" width="47.453125" style="1469" customWidth="1"/>
    <col min="16135" max="16135" width="13" style="1469" customWidth="1"/>
    <col min="16136" max="16137" width="8.90625" style="1469"/>
    <col min="16138" max="16138" width="5.7265625" style="1469" customWidth="1"/>
    <col min="16139" max="16139" width="11.7265625" style="1469" customWidth="1"/>
    <col min="16140" max="16141" width="10.7265625" style="1469" customWidth="1"/>
    <col min="16142" max="16142" width="10" style="1469" customWidth="1"/>
    <col min="16143" max="16144" width="10.453125" style="1469" bestFit="1" customWidth="1"/>
    <col min="16145" max="16145" width="10" style="1469" customWidth="1"/>
    <col min="16146" max="16146" width="10.08984375" style="1469" customWidth="1"/>
    <col min="16147" max="16147" width="10" style="1469" customWidth="1"/>
    <col min="16148" max="16148" width="26.08984375" style="1469" customWidth="1"/>
    <col min="16149" max="16384" width="8.9062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15" customHeight="1">
      <c r="A2" s="1225" t="s">
        <v>2581</v>
      </c>
      <c r="B2" s="1470" t="e">
        <f>C40</f>
        <v>#DIV/0!</v>
      </c>
      <c r="C2" s="1460" t="s">
        <v>2582</v>
      </c>
      <c r="D2" s="1460"/>
      <c r="E2" s="1471"/>
      <c r="F2" s="1472"/>
      <c r="G2" s="1473"/>
      <c r="H2" s="1474"/>
      <c r="I2" s="1475"/>
      <c r="J2" s="3028" t="s">
        <v>2583</v>
      </c>
      <c r="K2" s="3029"/>
      <c r="L2" s="1476" t="s">
        <v>2584</v>
      </c>
      <c r="M2" s="1476" t="s">
        <v>2585</v>
      </c>
      <c r="N2" s="1476" t="s">
        <v>2586</v>
      </c>
      <c r="O2" s="1476" t="s">
        <v>2587</v>
      </c>
      <c r="P2" s="1476" t="s">
        <v>2588</v>
      </c>
      <c r="Q2" s="1477" t="s">
        <v>2589</v>
      </c>
      <c r="R2" s="1478" t="s">
        <v>2590</v>
      </c>
      <c r="S2" s="1468"/>
      <c r="T2" s="1468"/>
      <c r="U2" s="1468"/>
      <c r="V2" s="1475"/>
    </row>
    <row r="3" spans="1:22" s="1479" customFormat="1" ht="13.15" customHeight="1">
      <c r="A3" s="1480" t="s">
        <v>2591</v>
      </c>
      <c r="B3" s="1481" t="e">
        <f>ROUND(B2*10000/B4,0)</f>
        <v>#DIV/0!</v>
      </c>
      <c r="C3" s="1460" t="s">
        <v>2592</v>
      </c>
      <c r="D3" s="1460"/>
      <c r="E3" s="1471"/>
      <c r="F3" s="1472"/>
      <c r="G3" s="1473"/>
      <c r="H3" s="1474"/>
      <c r="I3" s="1475"/>
      <c r="J3" s="3030" t="s">
        <v>2593</v>
      </c>
      <c r="K3" s="3031"/>
      <c r="L3" s="1482"/>
      <c r="M3" s="1482"/>
      <c r="N3" s="1482"/>
      <c r="O3" s="1482"/>
      <c r="P3" s="1482"/>
      <c r="Q3" s="1483"/>
      <c r="R3" s="1484">
        <f>SUM(L3:Q3)</f>
        <v>0</v>
      </c>
      <c r="S3" s="1468"/>
      <c r="T3" s="1468"/>
      <c r="U3" s="1468"/>
      <c r="V3" s="1475"/>
    </row>
    <row r="4" spans="1:22" s="1479" customFormat="1" ht="13.15" customHeight="1">
      <c r="A4" s="1485" t="s">
        <v>2594</v>
      </c>
      <c r="B4" s="1486"/>
      <c r="C4" s="1460"/>
      <c r="D4" s="1460"/>
      <c r="E4" s="1471"/>
      <c r="F4" s="1472"/>
      <c r="G4" s="1473"/>
      <c r="H4" s="1474"/>
      <c r="I4" s="1475"/>
      <c r="J4" s="3030" t="s">
        <v>2595</v>
      </c>
      <c r="K4" s="3031"/>
      <c r="L4" s="1487"/>
      <c r="M4" s="1487"/>
      <c r="N4" s="1487"/>
      <c r="O4" s="1487"/>
      <c r="P4" s="1487"/>
      <c r="Q4" s="1488"/>
      <c r="R4" s="1489">
        <f>SUM(L4:Q4)</f>
        <v>0</v>
      </c>
      <c r="S4" s="1468"/>
      <c r="T4" s="1468"/>
      <c r="U4" s="1468"/>
      <c r="V4" s="1475"/>
    </row>
    <row r="5" spans="1:22" s="1479" customFormat="1" ht="13.15"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15" customHeight="1" thickBot="1">
      <c r="A6" s="3036" t="s">
        <v>2599</v>
      </c>
      <c r="B6" s="3037"/>
      <c r="C6" s="3038"/>
      <c r="D6" s="1496"/>
      <c r="E6" s="1497"/>
      <c r="F6" s="1498"/>
      <c r="G6" s="1499"/>
      <c r="H6" s="1474"/>
      <c r="I6" s="1475"/>
      <c r="J6" s="3022">
        <v>1</v>
      </c>
      <c r="K6" s="3023"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15" customHeight="1">
      <c r="A7" s="1502" t="s">
        <v>2609</v>
      </c>
      <c r="B7" s="1503"/>
      <c r="C7" s="1504"/>
      <c r="D7" s="1505">
        <f>SUM(D9,D10,D11,D17,0)</f>
        <v>0</v>
      </c>
      <c r="E7" s="1503" t="e">
        <f>E9+E10+E11+E17</f>
        <v>#DIV/0!</v>
      </c>
      <c r="F7" s="1506"/>
      <c r="G7" s="1507"/>
      <c r="H7" s="1474"/>
      <c r="I7" s="1475"/>
      <c r="J7" s="3022"/>
      <c r="K7" s="3024"/>
      <c r="L7" s="1508" t="s">
        <v>2610</v>
      </c>
      <c r="M7" s="1509"/>
      <c r="N7" s="1486"/>
      <c r="O7" s="1486"/>
      <c r="P7" s="1486"/>
      <c r="Q7" s="1486">
        <v>365</v>
      </c>
      <c r="R7" s="1510">
        <f>ROUND(M7*N7*O7*P7*Q7/10000,0)</f>
        <v>0</v>
      </c>
      <c r="S7" s="1468"/>
      <c r="T7" s="1468" t="s">
        <v>2611</v>
      </c>
      <c r="U7" s="1468"/>
      <c r="V7" s="1475"/>
    </row>
    <row r="8" spans="1:22" s="1479" customFormat="1" ht="13.15" customHeight="1">
      <c r="A8" s="1511" t="s">
        <v>2612</v>
      </c>
      <c r="B8" s="3039" t="s">
        <v>2613</v>
      </c>
      <c r="C8" s="3040"/>
      <c r="D8" s="1512" t="s">
        <v>2614</v>
      </c>
      <c r="E8" s="1512" t="s">
        <v>2615</v>
      </c>
      <c r="F8" s="1513" t="s">
        <v>2616</v>
      </c>
      <c r="G8" s="1507"/>
      <c r="H8" s="1474"/>
      <c r="I8" s="1475"/>
      <c r="J8" s="3022"/>
      <c r="K8" s="3024"/>
      <c r="L8" s="1508" t="s">
        <v>2617</v>
      </c>
      <c r="M8" s="1509"/>
      <c r="N8" s="1486"/>
      <c r="O8" s="1486"/>
      <c r="P8" s="1486"/>
      <c r="Q8" s="1486">
        <v>365</v>
      </c>
      <c r="R8" s="1510">
        <f t="shared" ref="R8:R13" si="0">ROUND(M8*N8*O8*P8*Q8/10000,0)</f>
        <v>0</v>
      </c>
      <c r="S8" s="1468"/>
      <c r="T8" s="1468" t="s">
        <v>2618</v>
      </c>
      <c r="U8" s="1468"/>
      <c r="V8" s="1475"/>
    </row>
    <row r="9" spans="1:22" s="1479" customFormat="1" ht="13.15" customHeight="1">
      <c r="A9" s="1511">
        <v>1</v>
      </c>
      <c r="B9" s="3039" t="s">
        <v>2619</v>
      </c>
      <c r="C9" s="3040"/>
      <c r="D9" s="1512">
        <f>ROUND(D6*E9,0)</f>
        <v>0</v>
      </c>
      <c r="E9" s="1476"/>
      <c r="F9" s="1514" t="s">
        <v>2620</v>
      </c>
      <c r="G9" s="1499"/>
      <c r="H9" s="1474"/>
      <c r="I9" s="1475"/>
      <c r="J9" s="3022"/>
      <c r="K9" s="3024"/>
      <c r="L9" s="1508" t="s">
        <v>2621</v>
      </c>
      <c r="M9" s="1509"/>
      <c r="N9" s="1486"/>
      <c r="O9" s="1486"/>
      <c r="P9" s="1486"/>
      <c r="Q9" s="1486">
        <v>365</v>
      </c>
      <c r="R9" s="1510">
        <f t="shared" si="0"/>
        <v>0</v>
      </c>
      <c r="S9" s="1468"/>
      <c r="T9" s="1468"/>
      <c r="U9" s="1468"/>
      <c r="V9" s="1475"/>
    </row>
    <row r="10" spans="1:22" s="1479" customFormat="1" ht="13.15" customHeight="1">
      <c r="A10" s="1511">
        <v>2</v>
      </c>
      <c r="B10" s="3039" t="s">
        <v>2622</v>
      </c>
      <c r="C10" s="3040"/>
      <c r="D10" s="1512">
        <f>ROUND(D6*E10,0)</f>
        <v>0</v>
      </c>
      <c r="E10" s="1476"/>
      <c r="F10" s="1514" t="s">
        <v>2623</v>
      </c>
      <c r="G10" s="1499"/>
      <c r="H10" s="1474"/>
      <c r="I10" s="1475"/>
      <c r="J10" s="3022"/>
      <c r="K10" s="3024"/>
      <c r="L10" s="1508" t="s">
        <v>2624</v>
      </c>
      <c r="M10" s="1509"/>
      <c r="N10" s="1486"/>
      <c r="O10" s="1486"/>
      <c r="P10" s="1486"/>
      <c r="Q10" s="1486">
        <v>365</v>
      </c>
      <c r="R10" s="1510">
        <f t="shared" si="0"/>
        <v>0</v>
      </c>
      <c r="S10" s="1468"/>
      <c r="T10" s="1468"/>
      <c r="U10" s="1468"/>
      <c r="V10" s="1475"/>
    </row>
    <row r="11" spans="1:22" s="1479" customFormat="1" ht="13.15" customHeight="1">
      <c r="A11" s="1511">
        <v>3</v>
      </c>
      <c r="B11" s="3039" t="s">
        <v>2625</v>
      </c>
      <c r="C11" s="3040"/>
      <c r="D11" s="1512">
        <f>D12+D14+D15+D16</f>
        <v>0</v>
      </c>
      <c r="E11" s="1512" t="e">
        <f>D11/D6</f>
        <v>#DIV/0!</v>
      </c>
      <c r="F11" s="1513"/>
      <c r="G11" s="1507"/>
      <c r="H11" s="1474"/>
      <c r="I11" s="1475"/>
      <c r="J11" s="3022"/>
      <c r="K11" s="3024"/>
      <c r="L11" s="1508" t="s">
        <v>2626</v>
      </c>
      <c r="M11" s="1509"/>
      <c r="N11" s="1486"/>
      <c r="O11" s="1486"/>
      <c r="P11" s="1486"/>
      <c r="Q11" s="1486">
        <v>365</v>
      </c>
      <c r="R11" s="1510">
        <f t="shared" si="0"/>
        <v>0</v>
      </c>
      <c r="S11" s="1468"/>
      <c r="T11" s="1468"/>
      <c r="U11" s="1468"/>
      <c r="V11" s="1475"/>
    </row>
    <row r="12" spans="1:22" s="1479" customFormat="1" ht="13.15" customHeight="1">
      <c r="A12" s="1515" t="s">
        <v>2627</v>
      </c>
      <c r="B12" s="3032" t="s">
        <v>2628</v>
      </c>
      <c r="C12" s="3033"/>
      <c r="D12" s="1516">
        <f>ROUND(D13*1.2%*(1-30%),0)</f>
        <v>0</v>
      </c>
      <c r="E12" s="1516">
        <v>1.2E-2</v>
      </c>
      <c r="F12" s="1513" t="s">
        <v>2629</v>
      </c>
      <c r="G12" s="1507"/>
      <c r="H12" s="1474"/>
      <c r="I12" s="1475"/>
      <c r="J12" s="3022"/>
      <c r="K12" s="3024"/>
      <c r="L12" s="1508" t="s">
        <v>2630</v>
      </c>
      <c r="M12" s="1509"/>
      <c r="N12" s="1486"/>
      <c r="O12" s="1486"/>
      <c r="P12" s="1486"/>
      <c r="Q12" s="1486">
        <v>365</v>
      </c>
      <c r="R12" s="1510">
        <f t="shared" si="0"/>
        <v>0</v>
      </c>
      <c r="S12" s="1468"/>
      <c r="T12" s="1468"/>
      <c r="U12" s="1468"/>
      <c r="V12" s="1475"/>
    </row>
    <row r="13" spans="1:22" s="1479" customFormat="1" ht="13.15" customHeight="1">
      <c r="A13" s="1515"/>
      <c r="B13" s="1517"/>
      <c r="C13" s="1518" t="s">
        <v>2631</v>
      </c>
      <c r="D13" s="1486"/>
      <c r="E13" s="1519"/>
      <c r="F13" s="1513"/>
      <c r="G13" s="1507"/>
      <c r="H13" s="1474"/>
      <c r="I13" s="1475"/>
      <c r="J13" s="3022"/>
      <c r="K13" s="3024"/>
      <c r="L13" s="1508" t="s">
        <v>2632</v>
      </c>
      <c r="M13" s="1509"/>
      <c r="N13" s="1486"/>
      <c r="O13" s="1486"/>
      <c r="P13" s="1486"/>
      <c r="Q13" s="1486">
        <v>365</v>
      </c>
      <c r="R13" s="1510">
        <f t="shared" si="0"/>
        <v>0</v>
      </c>
      <c r="S13" s="1468"/>
      <c r="T13" s="1468"/>
      <c r="U13" s="1468"/>
      <c r="V13" s="1475"/>
    </row>
    <row r="14" spans="1:22" s="1479" customFormat="1" ht="13.15" customHeight="1">
      <c r="A14" s="1515" t="s">
        <v>2633</v>
      </c>
      <c r="B14" s="3032" t="s">
        <v>2634</v>
      </c>
      <c r="C14" s="3033"/>
      <c r="D14" s="1516">
        <f>ROUND(E14*B5/10000,0)</f>
        <v>0</v>
      </c>
      <c r="E14" s="1486"/>
      <c r="F14" s="1513" t="s">
        <v>2635</v>
      </c>
      <c r="G14" s="1507"/>
      <c r="H14" s="1474"/>
      <c r="I14" s="1475"/>
      <c r="J14" s="3022"/>
      <c r="K14" s="3025"/>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15" customHeight="1">
      <c r="A15" s="1515" t="s">
        <v>2637</v>
      </c>
      <c r="B15" s="3032" t="s">
        <v>2638</v>
      </c>
      <c r="C15" s="3033"/>
      <c r="D15" s="1516">
        <f>ROUND(D6*E15,0)</f>
        <v>0</v>
      </c>
      <c r="E15" s="1516">
        <v>5.5E-2</v>
      </c>
      <c r="F15" s="1513" t="s">
        <v>2639</v>
      </c>
      <c r="G15" s="1499"/>
      <c r="H15" s="1474"/>
      <c r="I15" s="1475"/>
      <c r="J15" s="3022">
        <v>2</v>
      </c>
      <c r="K15" s="3023"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15" customHeight="1">
      <c r="A16" s="1515" t="s">
        <v>2646</v>
      </c>
      <c r="B16" s="3032" t="s">
        <v>2647</v>
      </c>
      <c r="C16" s="3033"/>
      <c r="D16" s="1486">
        <f>D6*E16</f>
        <v>0</v>
      </c>
      <c r="E16" s="1486"/>
      <c r="F16" s="1514" t="s">
        <v>2648</v>
      </c>
      <c r="G16" s="1499"/>
      <c r="H16" s="1474"/>
      <c r="I16" s="1475"/>
      <c r="J16" s="3022"/>
      <c r="K16" s="3024"/>
      <c r="L16" s="1508" t="s">
        <v>2649</v>
      </c>
      <c r="M16" s="1509"/>
      <c r="N16" s="1509"/>
      <c r="O16" s="1486"/>
      <c r="P16" s="1486">
        <v>365</v>
      </c>
      <c r="Q16" s="1486"/>
      <c r="R16" s="1510">
        <f>ROUND(M16*N16*O16*P16/10000,0)</f>
        <v>0</v>
      </c>
      <c r="S16" s="1468"/>
      <c r="T16" s="1468"/>
      <c r="U16" s="1468"/>
      <c r="V16" s="1475"/>
    </row>
    <row r="17" spans="1:22" s="1479" customFormat="1" ht="13.15" customHeight="1" thickBot="1">
      <c r="A17" s="1523">
        <v>4</v>
      </c>
      <c r="B17" s="3034" t="s">
        <v>2650</v>
      </c>
      <c r="C17" s="3035"/>
      <c r="D17" s="1524">
        <f>ROUND(D6*E17,0)</f>
        <v>0</v>
      </c>
      <c r="E17" s="1525"/>
      <c r="F17" s="1526" t="s">
        <v>2651</v>
      </c>
      <c r="G17" s="1499"/>
      <c r="H17" s="1474"/>
      <c r="I17" s="1475"/>
      <c r="J17" s="3022"/>
      <c r="K17" s="3024"/>
      <c r="L17" s="1508" t="s">
        <v>2652</v>
      </c>
      <c r="M17" s="1509"/>
      <c r="N17" s="1509"/>
      <c r="O17" s="1486"/>
      <c r="P17" s="1486">
        <v>365</v>
      </c>
      <c r="Q17" s="1486"/>
      <c r="R17" s="1510">
        <f>ROUND(M17*N17*O17*P17/10000,0)</f>
        <v>0</v>
      </c>
      <c r="S17" s="1468"/>
      <c r="T17" s="1468"/>
      <c r="U17" s="1468"/>
      <c r="V17" s="1475"/>
    </row>
    <row r="18" spans="1:22" s="1479" customFormat="1" ht="13.15" customHeight="1" thickBot="1">
      <c r="A18" s="1502" t="s">
        <v>2653</v>
      </c>
      <c r="B18" s="1503"/>
      <c r="C18" s="1503"/>
      <c r="D18" s="1503">
        <f>ROUND(D6*E18,0)</f>
        <v>0</v>
      </c>
      <c r="E18" s="1527"/>
      <c r="F18" s="1528" t="s">
        <v>2654</v>
      </c>
      <c r="G18" s="1499"/>
      <c r="H18" s="1474"/>
      <c r="I18" s="1475"/>
      <c r="J18" s="3022"/>
      <c r="K18" s="3024"/>
      <c r="L18" s="1508" t="s">
        <v>2655</v>
      </c>
      <c r="M18" s="1509"/>
      <c r="N18" s="1509"/>
      <c r="O18" s="1486"/>
      <c r="P18" s="1486">
        <v>365</v>
      </c>
      <c r="Q18" s="1486"/>
      <c r="R18" s="1510">
        <f>ROUND(M18*N18*O18*P18/10000,0)</f>
        <v>0</v>
      </c>
      <c r="S18" s="1468"/>
      <c r="T18" s="1468"/>
      <c r="U18" s="1468"/>
      <c r="V18" s="1475"/>
    </row>
    <row r="19" spans="1:22" s="1479" customFormat="1" ht="13.15" customHeight="1" thickBot="1">
      <c r="A19" s="1529" t="s">
        <v>2656</v>
      </c>
      <c r="B19" s="1497"/>
      <c r="C19" s="1497"/>
      <c r="D19" s="1497"/>
      <c r="E19" s="1497"/>
      <c r="F19" s="1498"/>
      <c r="G19" s="1507"/>
      <c r="H19" s="1474"/>
      <c r="I19" s="1475"/>
      <c r="J19" s="3022"/>
      <c r="K19" s="3025"/>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15" customHeight="1">
      <c r="A20" s="1502"/>
      <c r="B20" s="1503"/>
      <c r="C20" s="1503"/>
      <c r="D20" s="1503"/>
      <c r="E20" s="1503"/>
      <c r="F20" s="1506"/>
      <c r="G20" s="1507"/>
      <c r="H20" s="1474"/>
      <c r="I20" s="1475"/>
      <c r="J20" s="3022">
        <v>3</v>
      </c>
      <c r="K20" s="3023"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15" customHeight="1">
      <c r="A21" s="1502"/>
      <c r="B21" s="1503"/>
      <c r="C21" s="1533" t="s">
        <v>2665</v>
      </c>
      <c r="D21" s="1534" t="s">
        <v>2666</v>
      </c>
      <c r="E21" s="1535" t="s">
        <v>2667</v>
      </c>
      <c r="F21" s="1506"/>
      <c r="G21" s="1507"/>
      <c r="H21" s="1474"/>
      <c r="I21" s="1475"/>
      <c r="J21" s="3022"/>
      <c r="K21" s="3024"/>
      <c r="L21" s="1508" t="s">
        <v>2668</v>
      </c>
      <c r="M21" s="1509"/>
      <c r="N21" s="1509"/>
      <c r="O21" s="1486"/>
      <c r="P21" s="1486">
        <v>365</v>
      </c>
      <c r="Q21" s="1486"/>
      <c r="R21" s="1536">
        <f>ROUND(M21*N21*O21*P21/10000,0)</f>
        <v>0</v>
      </c>
      <c r="S21" s="1468"/>
      <c r="T21" s="1468"/>
      <c r="U21" s="1468"/>
      <c r="V21" s="1475"/>
    </row>
    <row r="22" spans="1:22" s="1479" customFormat="1" ht="13.15" customHeight="1">
      <c r="A22" s="1502"/>
      <c r="B22" s="1503"/>
      <c r="C22" s="1537" t="s">
        <v>2669</v>
      </c>
      <c r="D22" s="1538" t="s">
        <v>2670</v>
      </c>
      <c r="E22" s="1539" t="s">
        <v>2671</v>
      </c>
      <c r="F22" s="1506"/>
      <c r="G22" s="1468"/>
      <c r="H22" s="1474"/>
      <c r="I22" s="1475"/>
      <c r="J22" s="3022"/>
      <c r="K22" s="3024"/>
      <c r="L22" s="1508" t="s">
        <v>2672</v>
      </c>
      <c r="M22" s="1509"/>
      <c r="N22" s="1509"/>
      <c r="O22" s="1486"/>
      <c r="P22" s="1486">
        <v>365</v>
      </c>
      <c r="Q22" s="1486"/>
      <c r="R22" s="1536">
        <f>ROUND(M22*N22*O22*P22/10000,0)</f>
        <v>0</v>
      </c>
      <c r="S22" s="1468"/>
      <c r="T22" s="1468"/>
      <c r="U22" s="1468"/>
      <c r="V22" s="1475"/>
    </row>
    <row r="23" spans="1:22" s="1479" customFormat="1" ht="13.15" customHeight="1">
      <c r="A23" s="1540">
        <v>1</v>
      </c>
      <c r="B23" s="1516" t="s">
        <v>2673</v>
      </c>
      <c r="C23" s="1517">
        <f>D6</f>
        <v>0</v>
      </c>
      <c r="D23" s="1541">
        <f>C23*(1+D24)</f>
        <v>0</v>
      </c>
      <c r="E23" s="1542">
        <f>D23*(1+E24)</f>
        <v>0</v>
      </c>
      <c r="F23" s="1543"/>
      <c r="G23" s="1544"/>
      <c r="H23" s="1474"/>
      <c r="I23" s="1475"/>
      <c r="J23" s="3022"/>
      <c r="K23" s="3024"/>
      <c r="L23" s="1508" t="s">
        <v>2674</v>
      </c>
      <c r="M23" s="1509"/>
      <c r="N23" s="1509"/>
      <c r="O23" s="1486"/>
      <c r="P23" s="1486">
        <v>365</v>
      </c>
      <c r="Q23" s="1486"/>
      <c r="R23" s="1536">
        <f>ROUND(M23*N23*O23*P23/10000,0)</f>
        <v>0</v>
      </c>
      <c r="S23" s="1468"/>
      <c r="T23" s="1468"/>
      <c r="U23" s="1468"/>
      <c r="V23" s="1475"/>
    </row>
    <row r="24" spans="1:22" s="1479" customFormat="1" ht="13.15" customHeight="1">
      <c r="A24" s="1545"/>
      <c r="B24" s="1546" t="s">
        <v>2675</v>
      </c>
      <c r="C24" s="1547"/>
      <c r="D24" s="1548"/>
      <c r="E24" s="1549"/>
      <c r="F24" s="1550"/>
      <c r="G24" s="1544"/>
      <c r="H24" s="1474"/>
      <c r="I24" s="1475"/>
      <c r="J24" s="3022"/>
      <c r="K24" s="3025"/>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15"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15" customHeight="1">
      <c r="A26" s="1540">
        <v>2</v>
      </c>
      <c r="B26" s="1516" t="s">
        <v>2677</v>
      </c>
      <c r="C26" s="1517">
        <f>D7</f>
        <v>0</v>
      </c>
      <c r="D26" s="1541">
        <f>D23*D27</f>
        <v>0</v>
      </c>
      <c r="E26" s="1542">
        <f>E23*E27</f>
        <v>0</v>
      </c>
      <c r="F26" s="1543"/>
      <c r="G26" s="1544"/>
      <c r="H26" s="1474"/>
      <c r="I26" s="1475"/>
      <c r="J26" s="3026">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15" customHeight="1">
      <c r="A27" s="1545"/>
      <c r="B27" s="1546" t="s">
        <v>2683</v>
      </c>
      <c r="C27" s="1547" t="e">
        <f>E7</f>
        <v>#DIV/0!</v>
      </c>
      <c r="D27" s="1548"/>
      <c r="E27" s="1549"/>
      <c r="F27" s="1550"/>
      <c r="G27" s="1544"/>
      <c r="H27" s="1561"/>
      <c r="I27" s="1555"/>
      <c r="J27" s="3027"/>
      <c r="K27" s="1562"/>
      <c r="L27" s="1563"/>
      <c r="M27" s="1564"/>
      <c r="N27" s="1565"/>
      <c r="O27" s="1565"/>
      <c r="P27" s="1565"/>
      <c r="Q27" s="1565"/>
      <c r="R27" s="1531">
        <f>ROUND(O27*N27*P27*(1-Q27)/10000,0)</f>
        <v>0</v>
      </c>
      <c r="S27" s="1468"/>
      <c r="T27" s="1468"/>
      <c r="U27" s="1468"/>
      <c r="V27" s="1475"/>
    </row>
    <row r="28" spans="1:22" s="1556" customFormat="1" ht="13.15"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15"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15"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15"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15" customHeight="1">
      <c r="A32" s="1540">
        <v>4</v>
      </c>
      <c r="B32" s="1516" t="s">
        <v>2691</v>
      </c>
      <c r="C32" s="1517">
        <f>C23-C26-C29</f>
        <v>0</v>
      </c>
      <c r="D32" s="1541">
        <f>D23-D26-D29</f>
        <v>0</v>
      </c>
      <c r="E32" s="1542">
        <f>E23-E26-E29</f>
        <v>0</v>
      </c>
      <c r="F32" s="1543"/>
      <c r="G32" s="1468"/>
      <c r="H32" s="1474"/>
      <c r="I32" s="1475"/>
      <c r="J32" s="3028" t="s">
        <v>2583</v>
      </c>
      <c r="K32" s="3029"/>
      <c r="L32" s="1476" t="s">
        <v>2584</v>
      </c>
      <c r="M32" s="1476" t="s">
        <v>2585</v>
      </c>
      <c r="N32" s="1476" t="s">
        <v>2586</v>
      </c>
      <c r="O32" s="1476" t="s">
        <v>2587</v>
      </c>
      <c r="P32" s="1476" t="s">
        <v>2588</v>
      </c>
      <c r="Q32" s="1477" t="s">
        <v>2589</v>
      </c>
      <c r="R32" s="1522" t="s">
        <v>2590</v>
      </c>
      <c r="S32" s="1468"/>
      <c r="T32" s="1468"/>
      <c r="U32" s="1468"/>
      <c r="V32" s="1555"/>
    </row>
    <row r="33" spans="1:23" s="1479" customFormat="1" ht="13.15" customHeight="1">
      <c r="A33" s="1540"/>
      <c r="B33" s="1516"/>
      <c r="C33" s="1517"/>
      <c r="D33" s="1541"/>
      <c r="E33" s="1542"/>
      <c r="F33" s="1543"/>
      <c r="G33" s="1468"/>
      <c r="H33" s="1561"/>
      <c r="I33" s="1555"/>
      <c r="J33" s="3030" t="s">
        <v>2593</v>
      </c>
      <c r="K33" s="3031"/>
      <c r="L33" s="1482"/>
      <c r="M33" s="1482"/>
      <c r="N33" s="1482"/>
      <c r="O33" s="1482"/>
      <c r="P33" s="1482"/>
      <c r="Q33" s="1483"/>
      <c r="R33" s="1501">
        <f>SUM(L33:Q33)</f>
        <v>0</v>
      </c>
      <c r="S33" s="1468"/>
      <c r="T33" s="1468"/>
      <c r="U33" s="1468"/>
      <c r="V33" s="1475"/>
    </row>
    <row r="34" spans="1:23" s="1479" customFormat="1" ht="13.15" customHeight="1">
      <c r="A34" s="1540">
        <v>5</v>
      </c>
      <c r="B34" s="1516" t="s">
        <v>2692</v>
      </c>
      <c r="C34" s="1575"/>
      <c r="D34" s="1576"/>
      <c r="E34" s="1577"/>
      <c r="F34" s="1543"/>
      <c r="G34" s="1468"/>
      <c r="H34" s="1561"/>
      <c r="I34" s="1555"/>
      <c r="J34" s="3030" t="s">
        <v>2595</v>
      </c>
      <c r="K34" s="3031"/>
      <c r="L34" s="1487"/>
      <c r="M34" s="1487"/>
      <c r="N34" s="1487"/>
      <c r="O34" s="1487"/>
      <c r="P34" s="1487"/>
      <c r="Q34" s="1488"/>
      <c r="R34" s="1578">
        <f>SUM(L34:Q34)</f>
        <v>0</v>
      </c>
      <c r="S34" s="1468"/>
      <c r="T34" s="1468"/>
      <c r="U34" s="1468" t="e">
        <f>ROUND(R35*10000/365/R33,1)</f>
        <v>#DIV/0!</v>
      </c>
      <c r="V34" s="1475"/>
    </row>
    <row r="35" spans="1:23" s="1479" customFormat="1" ht="13.15"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15" customHeight="1" thickBot="1">
      <c r="A36" s="1540">
        <v>7</v>
      </c>
      <c r="B36" s="1580" t="s">
        <v>2694</v>
      </c>
      <c r="C36" s="1581"/>
      <c r="D36" s="1582"/>
      <c r="E36" s="1583"/>
      <c r="F36" s="1543">
        <f>C36+D36+E36</f>
        <v>0</v>
      </c>
      <c r="G36" s="1468"/>
      <c r="H36" s="1474"/>
      <c r="I36" s="1475"/>
      <c r="J36" s="3022">
        <v>1</v>
      </c>
      <c r="K36" s="3023" t="s">
        <v>2695</v>
      </c>
      <c r="L36" s="1500"/>
      <c r="M36" s="1501"/>
      <c r="N36" s="1501"/>
      <c r="O36" s="1501"/>
      <c r="P36" s="1501"/>
      <c r="Q36" s="1501"/>
      <c r="R36" s="1484" t="s">
        <v>2607</v>
      </c>
      <c r="S36" s="1468"/>
      <c r="T36" s="1468" t="s">
        <v>2608</v>
      </c>
      <c r="U36" s="1468"/>
      <c r="V36" s="1475"/>
    </row>
    <row r="37" spans="1:23" s="1479" customFormat="1" ht="13.15" customHeight="1">
      <c r="A37" s="1540"/>
      <c r="B37" s="1516"/>
      <c r="C37" s="1516"/>
      <c r="D37" s="1516"/>
      <c r="E37" s="1516"/>
      <c r="F37" s="1543"/>
      <c r="G37" s="1468"/>
      <c r="H37" s="1474"/>
      <c r="I37" s="1475"/>
      <c r="J37" s="3022"/>
      <c r="K37" s="3024"/>
      <c r="L37" s="1508"/>
      <c r="M37" s="1509"/>
      <c r="N37" s="1486"/>
      <c r="O37" s="1486"/>
      <c r="P37" s="1486"/>
      <c r="Q37" s="1486"/>
      <c r="R37" s="1510"/>
      <c r="S37" s="1468"/>
      <c r="T37" s="1468" t="s">
        <v>2611</v>
      </c>
      <c r="U37" s="1468"/>
      <c r="V37" s="1475"/>
    </row>
    <row r="38" spans="1:23" s="1479" customFormat="1" ht="13.15" customHeight="1">
      <c r="A38" s="1540">
        <v>8</v>
      </c>
      <c r="B38" s="1516"/>
      <c r="C38" s="1512" t="e">
        <f>ROUND(C32*(1-((1+C35)/(1+C34))^C36)/(C34-C35),0)</f>
        <v>#DIV/0!</v>
      </c>
      <c r="D38" s="1512">
        <f>IF(D23=0,0,ROUND(D32*(1-((1+D35)/(1+D34))^D36)/(D34-D35),0))</f>
        <v>0</v>
      </c>
      <c r="E38" s="1512">
        <f>IF(E23=0,0,ROUND(E32*(1-((1+E35)/(1+E34))^E36)/(E34-E35),0))</f>
        <v>0</v>
      </c>
      <c r="F38" s="1543"/>
      <c r="G38" s="1468"/>
      <c r="H38" s="1474"/>
      <c r="I38" s="1475"/>
      <c r="J38" s="3022"/>
      <c r="K38" s="3024"/>
      <c r="L38" s="1508"/>
      <c r="M38" s="1509"/>
      <c r="N38" s="1486"/>
      <c r="O38" s="1486"/>
      <c r="P38" s="1486"/>
      <c r="Q38" s="1486"/>
      <c r="R38" s="1510"/>
      <c r="S38" s="1468"/>
      <c r="T38" s="1468" t="s">
        <v>2618</v>
      </c>
      <c r="U38" s="1468"/>
      <c r="V38" s="1475"/>
    </row>
    <row r="39" spans="1:23" s="1479" customFormat="1" ht="13.15" customHeight="1">
      <c r="A39" s="1540">
        <v>9</v>
      </c>
      <c r="B39" s="1516" t="s">
        <v>2696</v>
      </c>
      <c r="C39" s="1516" t="e">
        <f>C38</f>
        <v>#DIV/0!</v>
      </c>
      <c r="D39" s="1516">
        <f>D38/(1+D34)^C36</f>
        <v>0</v>
      </c>
      <c r="E39" s="1516">
        <f>E38/(1+E34)^(C36+D36)</f>
        <v>0</v>
      </c>
      <c r="F39" s="1543"/>
      <c r="G39" s="1475"/>
      <c r="H39" s="1474"/>
      <c r="I39" s="1475"/>
      <c r="J39" s="3022"/>
      <c r="K39" s="3024"/>
      <c r="L39" s="1508"/>
      <c r="M39" s="1509"/>
      <c r="N39" s="1486"/>
      <c r="O39" s="1486"/>
      <c r="P39" s="1486"/>
      <c r="Q39" s="1486"/>
      <c r="R39" s="1510"/>
      <c r="S39" s="1468"/>
      <c r="T39" s="1468"/>
      <c r="U39" s="1468"/>
      <c r="V39" s="1475"/>
    </row>
    <row r="40" spans="1:23" s="1479" customFormat="1" ht="13.15" customHeight="1">
      <c r="A40" s="1515">
        <v>10</v>
      </c>
      <c r="B40" s="1516" t="s">
        <v>2697</v>
      </c>
      <c r="C40" s="1584" t="e">
        <f>C39+D39+E39</f>
        <v>#DIV/0!</v>
      </c>
      <c r="D40" s="1584"/>
      <c r="E40" s="1584"/>
      <c r="F40" s="1585"/>
      <c r="G40" s="1468"/>
      <c r="H40" s="1474"/>
      <c r="I40" s="1475"/>
      <c r="J40" s="3022"/>
      <c r="K40" s="3025"/>
      <c r="L40" s="1520" t="s">
        <v>2636</v>
      </c>
      <c r="M40" s="1521"/>
      <c r="N40" s="1521"/>
      <c r="O40" s="1522"/>
      <c r="P40" s="1522"/>
      <c r="Q40" s="1522"/>
      <c r="R40" s="1478">
        <f>SUM(R37:R39)</f>
        <v>0</v>
      </c>
      <c r="S40" s="1468"/>
      <c r="T40" s="1468"/>
      <c r="U40" s="1468"/>
      <c r="V40" s="1475"/>
    </row>
    <row r="41" spans="1:23" s="1479" customFormat="1" ht="13.15"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15" customHeight="1">
      <c r="G42" s="1474"/>
      <c r="H42" s="1474"/>
      <c r="I42" s="1475"/>
      <c r="J42" s="3026">
        <v>3</v>
      </c>
      <c r="K42" s="1557" t="s">
        <v>2678</v>
      </c>
      <c r="L42" s="1558"/>
      <c r="M42" s="1559"/>
      <c r="N42" s="1560" t="s">
        <v>2679</v>
      </c>
      <c r="O42" s="1560" t="s">
        <v>2680</v>
      </c>
      <c r="P42" s="1560" t="s">
        <v>2681</v>
      </c>
      <c r="Q42" s="1560" t="s">
        <v>2682</v>
      </c>
      <c r="R42" s="1484" t="s">
        <v>2607</v>
      </c>
      <c r="S42" s="1507"/>
      <c r="T42" s="1507"/>
      <c r="U42" s="1468"/>
      <c r="V42" s="1475"/>
    </row>
    <row r="43" spans="1:23" ht="13.15" customHeight="1">
      <c r="A43" s="1479"/>
      <c r="B43" s="1479"/>
      <c r="C43" s="1479"/>
      <c r="D43" s="1479"/>
      <c r="E43" s="1479"/>
      <c r="F43" s="1479"/>
      <c r="I43" s="1463"/>
      <c r="J43" s="3027"/>
      <c r="K43" s="1562"/>
      <c r="L43" s="1563"/>
      <c r="M43" s="1564"/>
      <c r="N43" s="1509"/>
      <c r="O43" s="1509"/>
      <c r="P43" s="1509"/>
      <c r="Q43" s="1509"/>
      <c r="R43" s="1531">
        <f>ROUND(O43*N43*P43*(1-Q43)/10000,0)</f>
        <v>0</v>
      </c>
      <c r="S43" s="1468"/>
      <c r="T43" s="1468"/>
      <c r="V43" s="1589"/>
      <c r="W43" s="1590"/>
    </row>
    <row r="44" spans="1:23" ht="13.15"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
  <cols>
    <col min="1" max="1" width="23.6328125" style="982" customWidth="1"/>
    <col min="2" max="2" width="12" style="982" customWidth="1"/>
    <col min="3" max="3" width="9" style="982"/>
    <col min="4" max="4" width="14.08984375" style="982" customWidth="1"/>
    <col min="5" max="5" width="9" style="982"/>
    <col min="6" max="6" width="12.90625" style="982" customWidth="1"/>
    <col min="7" max="16384" width="9" style="982"/>
  </cols>
  <sheetData>
    <row r="1" spans="1:22" ht="21">
      <c r="A1" s="1592" t="s">
        <v>1885</v>
      </c>
      <c r="B1" s="1593"/>
      <c r="C1" s="1593"/>
      <c r="D1" s="1593"/>
      <c r="E1" s="1594"/>
      <c r="F1" s="1595"/>
      <c r="G1" s="979"/>
      <c r="H1" s="979"/>
      <c r="I1" s="979"/>
      <c r="J1" s="979"/>
      <c r="K1" s="979"/>
      <c r="L1" s="979"/>
      <c r="M1" s="979"/>
      <c r="N1" s="979"/>
      <c r="O1" s="979"/>
      <c r="P1" s="979"/>
      <c r="Q1" s="979"/>
      <c r="R1" s="979"/>
      <c r="S1" s="979"/>
    </row>
    <row r="2" spans="1:22" ht="15.5">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5.5">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5.5">
      <c r="A4" s="1603"/>
      <c r="B4" s="1595"/>
      <c r="C4" s="1595"/>
      <c r="D4" s="1595"/>
      <c r="E4" s="1602"/>
      <c r="F4" s="1595"/>
      <c r="G4" s="979"/>
      <c r="H4" s="979"/>
      <c r="I4" s="979"/>
      <c r="J4" s="979"/>
      <c r="K4" s="979"/>
      <c r="L4" s="979"/>
      <c r="M4" s="979"/>
      <c r="N4" s="979"/>
      <c r="O4" s="979"/>
      <c r="P4" s="979"/>
      <c r="Q4" s="979"/>
      <c r="R4" s="979"/>
      <c r="S4" s="979"/>
    </row>
    <row r="5" spans="1:22">
      <c r="A5" s="1604" t="s">
        <v>1880</v>
      </c>
      <c r="B5" s="3041" t="s">
        <v>1881</v>
      </c>
      <c r="C5" s="3042"/>
      <c r="D5" s="1605"/>
      <c r="E5" s="1606" t="s">
        <v>1882</v>
      </c>
      <c r="F5" s="828" t="s">
        <v>1883</v>
      </c>
      <c r="G5" s="979"/>
      <c r="H5" s="979"/>
      <c r="I5" s="979"/>
      <c r="J5" s="979"/>
      <c r="K5" s="979"/>
      <c r="L5" s="979"/>
      <c r="M5" s="979"/>
      <c r="N5" s="979"/>
      <c r="O5" s="979"/>
      <c r="P5" s="979"/>
      <c r="Q5" s="979"/>
      <c r="R5" s="979"/>
      <c r="S5" s="979"/>
    </row>
    <row r="6" spans="1:22">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4.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
  <cols>
    <col min="1" max="1" width="10.453125" style="1647" customWidth="1"/>
    <col min="2" max="2" width="15.7265625" style="1647" customWidth="1"/>
    <col min="3" max="3" width="15.0898437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77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c r="A4" s="1641" t="s">
        <v>1894</v>
      </c>
      <c r="B4" s="1642"/>
      <c r="C4" s="3061" t="s">
        <v>1895</v>
      </c>
      <c r="D4" s="3062"/>
      <c r="E4" s="3063" t="s">
        <v>1896</v>
      </c>
      <c r="F4" s="3064"/>
      <c r="G4" s="3061" t="s">
        <v>1897</v>
      </c>
      <c r="H4" s="3062"/>
      <c r="I4" s="3061" t="s">
        <v>1898</v>
      </c>
      <c r="J4" s="3062"/>
      <c r="K4" s="1643" t="s">
        <v>1899</v>
      </c>
      <c r="L4" s="1644"/>
      <c r="M4" s="1645"/>
      <c r="N4" s="1645"/>
      <c r="O4" s="1645"/>
      <c r="P4" s="3065" t="s">
        <v>1900</v>
      </c>
      <c r="Q4" s="3066"/>
      <c r="R4" s="3071" t="s">
        <v>1896</v>
      </c>
      <c r="S4" s="3072"/>
      <c r="T4" s="3071" t="s">
        <v>1897</v>
      </c>
      <c r="U4" s="3072"/>
      <c r="V4" s="3047" t="s">
        <v>1898</v>
      </c>
      <c r="W4" s="3047"/>
      <c r="X4" s="1646"/>
      <c r="Y4" s="3071" t="s">
        <v>1900</v>
      </c>
      <c r="Z4" s="3072"/>
      <c r="AA4" s="3058" t="s">
        <v>1896</v>
      </c>
      <c r="AB4" s="3058" t="s">
        <v>1897</v>
      </c>
      <c r="AC4" s="3058" t="s">
        <v>1898</v>
      </c>
    </row>
    <row r="5" spans="1:29">
      <c r="A5" s="1648"/>
      <c r="B5" s="1649"/>
      <c r="C5" s="3079" t="s">
        <v>1901</v>
      </c>
      <c r="D5" s="3080"/>
      <c r="E5" s="3086" t="s">
        <v>1902</v>
      </c>
      <c r="F5" s="3087"/>
      <c r="G5" s="3079" t="s">
        <v>1903</v>
      </c>
      <c r="H5" s="3080"/>
      <c r="I5" s="3079" t="s">
        <v>1904</v>
      </c>
      <c r="J5" s="3080"/>
      <c r="K5" s="165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65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81" t="s">
        <v>1908</v>
      </c>
      <c r="Q7" s="3083"/>
      <c r="R7" s="437" t="s">
        <v>20</v>
      </c>
      <c r="S7" s="1660">
        <f t="shared" ref="S7:S15" si="0">F7</f>
        <v>0</v>
      </c>
      <c r="T7" s="437" t="s">
        <v>20</v>
      </c>
      <c r="U7" s="1660">
        <f t="shared" ref="U7:U15" si="1">H7</f>
        <v>0</v>
      </c>
      <c r="V7" s="437" t="s">
        <v>20</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81" t="s">
        <v>1911</v>
      </c>
      <c r="Q8" s="3082"/>
      <c r="R8" s="437" t="s">
        <v>20</v>
      </c>
      <c r="S8" s="1660">
        <f t="shared" si="0"/>
        <v>0</v>
      </c>
      <c r="T8" s="437" t="s">
        <v>20</v>
      </c>
      <c r="U8" s="1660">
        <f t="shared" si="1"/>
        <v>0</v>
      </c>
      <c r="V8" s="437" t="s">
        <v>20</v>
      </c>
      <c r="W8" s="1660">
        <f t="shared" si="2"/>
        <v>0</v>
      </c>
      <c r="X8" s="1661"/>
      <c r="Y8" s="3081" t="s">
        <v>1911</v>
      </c>
      <c r="Z8" s="3082"/>
      <c r="AA8" s="443" t="e">
        <f t="shared" ref="AA8:AA19" si="3">D8/F8</f>
        <v>#DIV/0!</v>
      </c>
      <c r="AB8" s="443" t="e">
        <f t="shared" ref="AB8:AB19" si="4">D8/H8</f>
        <v>#DIV/0!</v>
      </c>
      <c r="AC8" s="443" t="e">
        <f t="shared" ref="AC8:AC19" si="5">D8/J8</f>
        <v>#DIV/0!</v>
      </c>
    </row>
    <row r="9" spans="1:29" s="1662" customFormat="1">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57"/>
      <c r="Q11" s="1671" t="str">
        <f t="shared" si="6"/>
        <v>容积率</v>
      </c>
      <c r="R11" s="437" t="s">
        <v>18</v>
      </c>
      <c r="S11" s="1660" t="e">
        <f t="shared" si="0"/>
        <v>#N/A</v>
      </c>
      <c r="T11" s="437" t="s">
        <v>18</v>
      </c>
      <c r="U11" s="1660" t="e">
        <f t="shared" si="1"/>
        <v>#N/A</v>
      </c>
      <c r="V11" s="437" t="s">
        <v>18</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57"/>
      <c r="Q12" s="1671">
        <f t="shared" si="6"/>
        <v>111</v>
      </c>
      <c r="R12" s="437" t="s">
        <v>18</v>
      </c>
      <c r="S12" s="1660">
        <f t="shared" si="0"/>
        <v>100</v>
      </c>
      <c r="T12" s="437" t="s">
        <v>18</v>
      </c>
      <c r="U12" s="1660">
        <f t="shared" si="1"/>
        <v>100</v>
      </c>
      <c r="V12" s="437" t="s">
        <v>18</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57"/>
      <c r="Q13" s="1671">
        <f t="shared" si="6"/>
        <v>111</v>
      </c>
      <c r="R13" s="437" t="s">
        <v>18</v>
      </c>
      <c r="S13" s="1660">
        <f t="shared" si="0"/>
        <v>100</v>
      </c>
      <c r="T13" s="437" t="s">
        <v>18</v>
      </c>
      <c r="U13" s="1660">
        <f t="shared" si="1"/>
        <v>100</v>
      </c>
      <c r="V13" s="437" t="s">
        <v>18</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57"/>
      <c r="Q14" s="1671">
        <f t="shared" si="6"/>
        <v>111</v>
      </c>
      <c r="R14" s="437" t="s">
        <v>18</v>
      </c>
      <c r="S14" s="1660">
        <f t="shared" si="0"/>
        <v>100</v>
      </c>
      <c r="T14" s="437" t="s">
        <v>18</v>
      </c>
      <c r="U14" s="1660">
        <f t="shared" si="1"/>
        <v>100</v>
      </c>
      <c r="V14" s="437" t="s">
        <v>18</v>
      </c>
      <c r="W14" s="1660">
        <f t="shared" si="2"/>
        <v>100</v>
      </c>
      <c r="X14" s="1661"/>
      <c r="Y14" s="2926"/>
      <c r="Z14" s="443">
        <f t="shared" si="7"/>
        <v>111</v>
      </c>
      <c r="AA14" s="443">
        <f t="shared" si="3"/>
        <v>1</v>
      </c>
      <c r="AB14" s="443">
        <f t="shared" si="4"/>
        <v>1</v>
      </c>
      <c r="AC14" s="443">
        <f t="shared" si="5"/>
        <v>1</v>
      </c>
    </row>
    <row r="15" spans="1:29" ht="98">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55" t="s">
        <v>1919</v>
      </c>
      <c r="Q15" s="1705" t="str">
        <f t="shared" si="6"/>
        <v>居住社区成熟度</v>
      </c>
      <c r="R15" s="1706" t="s">
        <v>18</v>
      </c>
      <c r="S15" s="1707">
        <f t="shared" si="0"/>
        <v>100</v>
      </c>
      <c r="T15" s="1706" t="s">
        <v>18</v>
      </c>
      <c r="U15" s="1707">
        <f t="shared" si="1"/>
        <v>100</v>
      </c>
      <c r="V15" s="1706" t="s">
        <v>18</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0"/>
      <c r="F16" s="1711"/>
      <c r="G16" s="1712"/>
      <c r="H16" s="1713"/>
      <c r="I16" s="1712"/>
      <c r="J16" s="1711"/>
      <c r="K16" s="1714"/>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56"/>
      <c r="Q17" s="1705" t="str">
        <f>B17</f>
        <v>交通便捷度</v>
      </c>
      <c r="R17" s="1706" t="s">
        <v>18</v>
      </c>
      <c r="S17" s="1707">
        <f>F17</f>
        <v>100</v>
      </c>
      <c r="T17" s="1706" t="s">
        <v>18</v>
      </c>
      <c r="U17" s="1707">
        <f>H17</f>
        <v>100</v>
      </c>
      <c r="V17" s="1706" t="s">
        <v>18</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1"/>
      <c r="F18" s="1713"/>
      <c r="G18" s="1722"/>
      <c r="H18" s="1711"/>
      <c r="I18" s="1722"/>
      <c r="J18" s="1711"/>
      <c r="K18" s="1714"/>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56"/>
      <c r="Q19" s="1705" t="str">
        <f>B19</f>
        <v>公共配套设施</v>
      </c>
      <c r="R19" s="1706" t="s">
        <v>18</v>
      </c>
      <c r="S19" s="1707">
        <f>F19</f>
        <v>100</v>
      </c>
      <c r="T19" s="1706" t="s">
        <v>18</v>
      </c>
      <c r="U19" s="1707">
        <f>H19</f>
        <v>100</v>
      </c>
      <c r="V19" s="1706" t="s">
        <v>18</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0"/>
      <c r="F20" s="1711"/>
      <c r="G20" s="1712"/>
      <c r="H20" s="1711"/>
      <c r="I20" s="1712"/>
      <c r="J20" s="1711"/>
      <c r="K20" s="1714"/>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711"/>
      <c r="G22" s="1712"/>
      <c r="H22" s="1711"/>
      <c r="I22" s="1710"/>
      <c r="J22" s="1711"/>
      <c r="K22" s="1726"/>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56"/>
      <c r="Q23" s="1705" t="str">
        <f>B23</f>
        <v>自然及人文环境</v>
      </c>
      <c r="R23" s="1706" t="s">
        <v>18</v>
      </c>
      <c r="S23" s="1707">
        <f>F23</f>
        <v>100</v>
      </c>
      <c r="T23" s="1706" t="s">
        <v>18</v>
      </c>
      <c r="U23" s="1707">
        <f>H23</f>
        <v>100</v>
      </c>
      <c r="V23" s="1706" t="s">
        <v>18</v>
      </c>
      <c r="W23" s="1707">
        <f>J23</f>
        <v>100</v>
      </c>
      <c r="X23" s="1646"/>
      <c r="Y23" s="3049"/>
      <c r="Z23" s="1708" t="str">
        <f>Q23</f>
        <v>自然及人文环境</v>
      </c>
      <c r="AA23" s="1708">
        <f>D23/F23</f>
        <v>1</v>
      </c>
      <c r="AB23" s="1708">
        <f>D23/H23</f>
        <v>1</v>
      </c>
      <c r="AC23" s="1708">
        <f>D23/J23</f>
        <v>1</v>
      </c>
    </row>
    <row r="24" spans="1:29" ht="15.5">
      <c r="A24" s="1681"/>
      <c r="B24" s="1720"/>
      <c r="C24" s="1710"/>
      <c r="D24" s="1711"/>
      <c r="E24" s="1710"/>
      <c r="F24" s="1711"/>
      <c r="G24" s="1712"/>
      <c r="H24" s="1711"/>
      <c r="I24" s="1712"/>
      <c r="J24" s="1711"/>
      <c r="K24" s="1714"/>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56"/>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49"/>
      <c r="Z25" s="1708" t="str">
        <f>Q25</f>
        <v>楼层-1</v>
      </c>
      <c r="AA25" s="1708">
        <f t="shared" ref="AA25:AA46" si="15">D25/F25</f>
        <v>1</v>
      </c>
      <c r="AB25" s="1708">
        <f t="shared" ref="AB25:AB46" si="16">D25/H25</f>
        <v>1</v>
      </c>
      <c r="AC25" s="1708">
        <f t="shared" ref="AC25:AC46" si="17">D25/J25</f>
        <v>1</v>
      </c>
    </row>
    <row r="26" spans="1:29" ht="15.5">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56"/>
      <c r="Q26" s="1705" t="str">
        <f t="shared" si="11"/>
        <v>朝向</v>
      </c>
      <c r="R26" s="1706" t="s">
        <v>18</v>
      </c>
      <c r="S26" s="1707">
        <f t="shared" si="12"/>
        <v>100</v>
      </c>
      <c r="T26" s="1706" t="s">
        <v>18</v>
      </c>
      <c r="U26" s="1707">
        <f t="shared" si="13"/>
        <v>100</v>
      </c>
      <c r="V26" s="1706" t="s">
        <v>18</v>
      </c>
      <c r="W26" s="1707">
        <f t="shared" si="14"/>
        <v>100</v>
      </c>
      <c r="X26" s="1646"/>
      <c r="Y26" s="3049"/>
      <c r="Z26" s="1708" t="str">
        <f>Q26</f>
        <v>朝向</v>
      </c>
      <c r="AA26" s="1708">
        <f t="shared" si="15"/>
        <v>1</v>
      </c>
      <c r="AB26" s="1708">
        <f t="shared" si="16"/>
        <v>1</v>
      </c>
      <c r="AC26" s="1708">
        <f t="shared" si="17"/>
        <v>1</v>
      </c>
    </row>
    <row r="27" spans="1:29" s="1662" customFormat="1" ht="15.5">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56"/>
      <c r="Q27" s="1671">
        <f t="shared" si="11"/>
        <v>111</v>
      </c>
      <c r="R27" s="437" t="s">
        <v>18</v>
      </c>
      <c r="S27" s="1660">
        <f t="shared" si="12"/>
        <v>100</v>
      </c>
      <c r="T27" s="437" t="s">
        <v>18</v>
      </c>
      <c r="U27" s="1660">
        <f t="shared" si="13"/>
        <v>100</v>
      </c>
      <c r="V27" s="437" t="s">
        <v>18</v>
      </c>
      <c r="W27" s="1660">
        <f t="shared" si="14"/>
        <v>100</v>
      </c>
      <c r="X27" s="1661"/>
      <c r="Y27" s="3049"/>
      <c r="Z27" s="443">
        <f>Q27</f>
        <v>111</v>
      </c>
      <c r="AA27" s="1708">
        <f t="shared" si="15"/>
        <v>1</v>
      </c>
      <c r="AB27" s="1708">
        <f t="shared" si="16"/>
        <v>1</v>
      </c>
      <c r="AC27" s="1708">
        <f t="shared" si="17"/>
        <v>1</v>
      </c>
    </row>
    <row r="28" spans="1:29" ht="15.5">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56"/>
      <c r="Q28" s="1705">
        <f t="shared" si="11"/>
        <v>111</v>
      </c>
      <c r="R28" s="1706" t="s">
        <v>18</v>
      </c>
      <c r="S28" s="1707">
        <f t="shared" si="12"/>
        <v>100</v>
      </c>
      <c r="T28" s="1706" t="s">
        <v>18</v>
      </c>
      <c r="U28" s="1707">
        <f t="shared" si="13"/>
        <v>100</v>
      </c>
      <c r="V28" s="1706" t="s">
        <v>18</v>
      </c>
      <c r="W28" s="1707">
        <f t="shared" si="14"/>
        <v>100</v>
      </c>
      <c r="X28" s="1646"/>
      <c r="Y28" s="3049"/>
      <c r="Z28" s="1708">
        <f t="shared" ref="Z28:Z46" si="18">Q28</f>
        <v>111</v>
      </c>
      <c r="AA28" s="1708">
        <f t="shared" si="15"/>
        <v>1</v>
      </c>
      <c r="AB28" s="1708">
        <f t="shared" si="16"/>
        <v>1</v>
      </c>
      <c r="AC28" s="1708">
        <f t="shared" si="17"/>
        <v>1</v>
      </c>
    </row>
    <row r="29" spans="1:29" ht="15.5">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56"/>
      <c r="Q29" s="1705">
        <f t="shared" si="11"/>
        <v>111</v>
      </c>
      <c r="R29" s="1706" t="s">
        <v>18</v>
      </c>
      <c r="S29" s="1707">
        <f t="shared" si="12"/>
        <v>100</v>
      </c>
      <c r="T29" s="1706" t="s">
        <v>18</v>
      </c>
      <c r="U29" s="1707">
        <f t="shared" si="13"/>
        <v>100</v>
      </c>
      <c r="V29" s="1706" t="s">
        <v>18</v>
      </c>
      <c r="W29" s="1707">
        <f t="shared" si="14"/>
        <v>100</v>
      </c>
      <c r="X29" s="1646"/>
      <c r="Y29" s="3049"/>
      <c r="Z29" s="1708">
        <f t="shared" si="18"/>
        <v>111</v>
      </c>
      <c r="AA29" s="1708">
        <f t="shared" si="15"/>
        <v>1</v>
      </c>
      <c r="AB29" s="1708">
        <f t="shared" si="16"/>
        <v>1</v>
      </c>
      <c r="AC29" s="1708">
        <f t="shared" si="17"/>
        <v>1</v>
      </c>
    </row>
    <row r="30" spans="1:29" ht="15.5">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56"/>
      <c r="Q30" s="1705">
        <f t="shared" si="11"/>
        <v>111</v>
      </c>
      <c r="R30" s="1706" t="s">
        <v>18</v>
      </c>
      <c r="S30" s="1707">
        <f t="shared" si="12"/>
        <v>100</v>
      </c>
      <c r="T30" s="1706" t="s">
        <v>18</v>
      </c>
      <c r="U30" s="1707">
        <f t="shared" si="13"/>
        <v>100</v>
      </c>
      <c r="V30" s="1706" t="s">
        <v>18</v>
      </c>
      <c r="W30" s="1707">
        <f t="shared" si="14"/>
        <v>100</v>
      </c>
      <c r="X30" s="1646"/>
      <c r="Y30" s="3049"/>
      <c r="Z30" s="1708">
        <f t="shared" si="18"/>
        <v>111</v>
      </c>
      <c r="AA30" s="1708">
        <f t="shared" si="15"/>
        <v>1</v>
      </c>
      <c r="AB30" s="1708">
        <f t="shared" si="16"/>
        <v>1</v>
      </c>
      <c r="AC30" s="1708">
        <f t="shared" si="17"/>
        <v>1</v>
      </c>
    </row>
    <row r="31" spans="1:29" ht="16"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56"/>
      <c r="Q31" s="1705">
        <f t="shared" si="11"/>
        <v>111</v>
      </c>
      <c r="R31" s="1706" t="s">
        <v>18</v>
      </c>
      <c r="S31" s="1707">
        <f t="shared" si="12"/>
        <v>100</v>
      </c>
      <c r="T31" s="1706" t="s">
        <v>18</v>
      </c>
      <c r="U31" s="1707">
        <f t="shared" si="13"/>
        <v>100</v>
      </c>
      <c r="V31" s="1706" t="s">
        <v>18</v>
      </c>
      <c r="W31" s="1707">
        <f t="shared" si="14"/>
        <v>100</v>
      </c>
      <c r="X31" s="1646"/>
      <c r="Y31" s="3049"/>
      <c r="Z31" s="1708">
        <f t="shared" si="18"/>
        <v>111</v>
      </c>
      <c r="AA31" s="1708">
        <f t="shared" si="15"/>
        <v>1</v>
      </c>
      <c r="AB31" s="1708">
        <f t="shared" si="16"/>
        <v>1</v>
      </c>
      <c r="AC31" s="1708">
        <f t="shared" si="17"/>
        <v>1</v>
      </c>
    </row>
    <row r="32" spans="1:29" ht="15.5">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50" t="s">
        <v>1924</v>
      </c>
      <c r="Q32" s="1705" t="str">
        <f t="shared" si="11"/>
        <v>建筑类型</v>
      </c>
      <c r="R32" s="1706" t="s">
        <v>18</v>
      </c>
      <c r="S32" s="1707">
        <f t="shared" si="12"/>
        <v>100</v>
      </c>
      <c r="T32" s="1706" t="s">
        <v>18</v>
      </c>
      <c r="U32" s="1707">
        <f t="shared" si="13"/>
        <v>100</v>
      </c>
      <c r="V32" s="1706" t="s">
        <v>18</v>
      </c>
      <c r="W32" s="1707">
        <f t="shared" si="14"/>
        <v>100</v>
      </c>
      <c r="X32" s="1646"/>
      <c r="Y32" s="3053" t="s">
        <v>1924</v>
      </c>
      <c r="Z32" s="1708" t="str">
        <f t="shared" si="18"/>
        <v>建筑类型</v>
      </c>
      <c r="AA32" s="1708">
        <f t="shared" si="15"/>
        <v>1</v>
      </c>
      <c r="AB32" s="1708">
        <f t="shared" si="16"/>
        <v>1</v>
      </c>
      <c r="AC32" s="1708">
        <f t="shared" si="17"/>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51"/>
      <c r="Q33" s="1741" t="str">
        <f t="shared" si="11"/>
        <v>项目建筑规模</v>
      </c>
      <c r="R33" s="1742" t="s">
        <v>18</v>
      </c>
      <c r="S33" s="1743" t="e">
        <f t="shared" si="12"/>
        <v>#N/A</v>
      </c>
      <c r="T33" s="1742" t="s">
        <v>18</v>
      </c>
      <c r="U33" s="1743" t="e">
        <f t="shared" si="13"/>
        <v>#N/A</v>
      </c>
      <c r="V33" s="1742" t="s">
        <v>18</v>
      </c>
      <c r="W33" s="1743" t="e">
        <f t="shared" si="14"/>
        <v>#N/A</v>
      </c>
      <c r="X33" s="1744"/>
      <c r="Y33" s="3053"/>
      <c r="Z33" s="1745" t="str">
        <f t="shared" si="18"/>
        <v>项目建筑规模</v>
      </c>
      <c r="AA33" s="1708" t="e">
        <f t="shared" si="15"/>
        <v>#N/A</v>
      </c>
      <c r="AB33" s="1708" t="e">
        <f t="shared" si="16"/>
        <v>#N/A</v>
      </c>
      <c r="AC33" s="1708" t="e">
        <f t="shared" si="17"/>
        <v>#N/A</v>
      </c>
    </row>
    <row r="34" spans="1:29" ht="15.5">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51"/>
      <c r="Q34" s="1705" t="str">
        <f t="shared" si="11"/>
        <v>建筑结构</v>
      </c>
      <c r="R34" s="1706" t="s">
        <v>18</v>
      </c>
      <c r="S34" s="1707">
        <f t="shared" si="12"/>
        <v>100</v>
      </c>
      <c r="T34" s="1706" t="s">
        <v>18</v>
      </c>
      <c r="U34" s="1707">
        <f t="shared" si="13"/>
        <v>100</v>
      </c>
      <c r="V34" s="1706" t="s">
        <v>18</v>
      </c>
      <c r="W34" s="1707">
        <f t="shared" si="14"/>
        <v>100</v>
      </c>
      <c r="X34" s="1646"/>
      <c r="Y34" s="3053"/>
      <c r="Z34" s="1708" t="str">
        <f t="shared" si="18"/>
        <v>建筑结构</v>
      </c>
      <c r="AA34" s="1708">
        <f t="shared" si="15"/>
        <v>1</v>
      </c>
      <c r="AB34" s="1708">
        <f t="shared" si="16"/>
        <v>1</v>
      </c>
      <c r="AC34" s="1708">
        <f t="shared" si="17"/>
        <v>1</v>
      </c>
    </row>
    <row r="35" spans="1:29" ht="15.5">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51"/>
      <c r="Q35" s="1705" t="str">
        <f t="shared" si="11"/>
        <v>建筑品质</v>
      </c>
      <c r="R35" s="1706" t="s">
        <v>18</v>
      </c>
      <c r="S35" s="1707">
        <f t="shared" si="12"/>
        <v>100</v>
      </c>
      <c r="T35" s="1706" t="s">
        <v>18</v>
      </c>
      <c r="U35" s="1707">
        <f t="shared" si="13"/>
        <v>100</v>
      </c>
      <c r="V35" s="1706" t="s">
        <v>18</v>
      </c>
      <c r="W35" s="1707">
        <f t="shared" si="14"/>
        <v>100</v>
      </c>
      <c r="X35" s="1646"/>
      <c r="Y35" s="3053"/>
      <c r="Z35" s="1708" t="str">
        <f t="shared" si="18"/>
        <v>建筑品质</v>
      </c>
      <c r="AA35" s="1708">
        <f t="shared" si="15"/>
        <v>1</v>
      </c>
      <c r="AB35" s="1708">
        <f t="shared" si="16"/>
        <v>1</v>
      </c>
      <c r="AC35" s="1708">
        <f t="shared" si="17"/>
        <v>1</v>
      </c>
    </row>
    <row r="36" spans="1:29" ht="15.5">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51"/>
      <c r="Q36" s="1705" t="str">
        <f t="shared" si="11"/>
        <v>公共部分装修</v>
      </c>
      <c r="R36" s="1706" t="s">
        <v>18</v>
      </c>
      <c r="S36" s="1707">
        <f t="shared" si="12"/>
        <v>100</v>
      </c>
      <c r="T36" s="1706" t="s">
        <v>18</v>
      </c>
      <c r="U36" s="1707">
        <f t="shared" si="13"/>
        <v>100</v>
      </c>
      <c r="V36" s="1706" t="s">
        <v>18</v>
      </c>
      <c r="W36" s="1707">
        <f t="shared" si="14"/>
        <v>100</v>
      </c>
      <c r="X36" s="1646"/>
      <c r="Y36" s="3053"/>
      <c r="Z36" s="1708" t="str">
        <f t="shared" si="18"/>
        <v>公共部分装修</v>
      </c>
      <c r="AA36" s="1708">
        <f t="shared" si="15"/>
        <v>1</v>
      </c>
      <c r="AB36" s="1708">
        <f t="shared" si="16"/>
        <v>1</v>
      </c>
      <c r="AC36" s="1708">
        <f t="shared" si="17"/>
        <v>1</v>
      </c>
    </row>
    <row r="37" spans="1:29" s="1662" customFormat="1" ht="15.5">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51"/>
      <c r="Q37" s="1671" t="str">
        <f t="shared" si="11"/>
        <v>成新度</v>
      </c>
      <c r="R37" s="437" t="s">
        <v>18</v>
      </c>
      <c r="S37" s="1660" t="e">
        <f t="shared" si="12"/>
        <v>#N/A</v>
      </c>
      <c r="T37" s="437" t="s">
        <v>18</v>
      </c>
      <c r="U37" s="1660" t="e">
        <f t="shared" si="13"/>
        <v>#N/A</v>
      </c>
      <c r="V37" s="437" t="s">
        <v>18</v>
      </c>
      <c r="W37" s="1660" t="e">
        <f t="shared" si="14"/>
        <v>#N/A</v>
      </c>
      <c r="X37" s="1661"/>
      <c r="Y37" s="3053"/>
      <c r="Z37" s="443" t="str">
        <f t="shared" si="18"/>
        <v>成新度</v>
      </c>
      <c r="AA37" s="443" t="e">
        <f t="shared" si="15"/>
        <v>#N/A</v>
      </c>
      <c r="AB37" s="443" t="e">
        <f t="shared" si="16"/>
        <v>#N/A</v>
      </c>
      <c r="AC37" s="443" t="e">
        <f t="shared" si="17"/>
        <v>#N/A</v>
      </c>
    </row>
    <row r="38" spans="1:29" ht="15.5">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51" t="s">
        <v>1924</v>
      </c>
      <c r="Q38" s="1705" t="str">
        <f t="shared" si="11"/>
        <v>物业管理</v>
      </c>
      <c r="R38" s="1706" t="s">
        <v>18</v>
      </c>
      <c r="S38" s="1707">
        <f t="shared" si="12"/>
        <v>100</v>
      </c>
      <c r="T38" s="1706" t="s">
        <v>18</v>
      </c>
      <c r="U38" s="1707">
        <f t="shared" si="13"/>
        <v>100</v>
      </c>
      <c r="V38" s="1706" t="s">
        <v>18</v>
      </c>
      <c r="W38" s="1707">
        <f t="shared" si="14"/>
        <v>100</v>
      </c>
      <c r="X38" s="1646"/>
      <c r="Y38" s="3053" t="s">
        <v>1924</v>
      </c>
      <c r="Z38" s="1708" t="str">
        <f t="shared" si="18"/>
        <v>物业管理</v>
      </c>
      <c r="AA38" s="1708">
        <f t="shared" si="15"/>
        <v>1</v>
      </c>
      <c r="AB38" s="1708">
        <f t="shared" si="16"/>
        <v>1</v>
      </c>
      <c r="AC38" s="1708">
        <f t="shared" si="17"/>
        <v>1</v>
      </c>
    </row>
    <row r="39" spans="1:29" ht="15.5">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51"/>
      <c r="Q39" s="1705" t="str">
        <f t="shared" si="11"/>
        <v>市政基础设施</v>
      </c>
      <c r="R39" s="1706" t="s">
        <v>18</v>
      </c>
      <c r="S39" s="1707">
        <f t="shared" si="12"/>
        <v>100</v>
      </c>
      <c r="T39" s="1706" t="s">
        <v>18</v>
      </c>
      <c r="U39" s="1707">
        <f t="shared" si="13"/>
        <v>100</v>
      </c>
      <c r="V39" s="1706" t="s">
        <v>18</v>
      </c>
      <c r="W39" s="1707">
        <f t="shared" si="14"/>
        <v>100</v>
      </c>
      <c r="X39" s="1646"/>
      <c r="Y39" s="3053"/>
      <c r="Z39" s="1708" t="str">
        <f t="shared" si="18"/>
        <v>市政基础设施</v>
      </c>
      <c r="AA39" s="1708">
        <f t="shared" si="15"/>
        <v>1</v>
      </c>
      <c r="AB39" s="1708">
        <f t="shared" si="16"/>
        <v>1</v>
      </c>
      <c r="AC39" s="1708">
        <f t="shared" si="17"/>
        <v>1</v>
      </c>
    </row>
    <row r="40" spans="1:29" ht="15.5">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51"/>
      <c r="Q40" s="1705" t="str">
        <f t="shared" si="11"/>
        <v>房型</v>
      </c>
      <c r="R40" s="1706" t="s">
        <v>18</v>
      </c>
      <c r="S40" s="1707">
        <f t="shared" si="12"/>
        <v>100</v>
      </c>
      <c r="T40" s="1706" t="s">
        <v>18</v>
      </c>
      <c r="U40" s="1707">
        <f t="shared" si="13"/>
        <v>100</v>
      </c>
      <c r="V40" s="1706" t="s">
        <v>18</v>
      </c>
      <c r="W40" s="1707">
        <f t="shared" si="14"/>
        <v>100</v>
      </c>
      <c r="X40" s="1646"/>
      <c r="Y40" s="3053"/>
      <c r="Z40" s="1708" t="str">
        <f t="shared" si="18"/>
        <v>房型</v>
      </c>
      <c r="AA40" s="1708">
        <f t="shared" si="15"/>
        <v>1</v>
      </c>
      <c r="AB40" s="1708">
        <f t="shared" si="16"/>
        <v>1</v>
      </c>
      <c r="AC40" s="1708">
        <f t="shared" si="17"/>
        <v>1</v>
      </c>
    </row>
    <row r="41" spans="1:29" s="1746" customFormat="1" ht="28.5">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51"/>
      <c r="Q41" s="1741" t="str">
        <f t="shared" si="11"/>
        <v>单套/主力户型建筑面积</v>
      </c>
      <c r="R41" s="1742" t="s">
        <v>18</v>
      </c>
      <c r="S41" s="1743">
        <f t="shared" si="12"/>
        <v>100</v>
      </c>
      <c r="T41" s="1742" t="s">
        <v>18</v>
      </c>
      <c r="U41" s="1743">
        <f t="shared" si="13"/>
        <v>100</v>
      </c>
      <c r="V41" s="1742" t="s">
        <v>18</v>
      </c>
      <c r="W41" s="1743">
        <f t="shared" si="14"/>
        <v>100</v>
      </c>
      <c r="X41" s="1744"/>
      <c r="Y41" s="3053"/>
      <c r="Z41" s="1745" t="str">
        <f t="shared" si="18"/>
        <v>单套/主力户型建筑面积</v>
      </c>
      <c r="AA41" s="1708">
        <f t="shared" si="15"/>
        <v>1</v>
      </c>
      <c r="AB41" s="1708">
        <f t="shared" si="16"/>
        <v>1</v>
      </c>
      <c r="AC41" s="1708">
        <f t="shared" si="17"/>
        <v>1</v>
      </c>
    </row>
    <row r="42" spans="1:29" ht="15.5">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51"/>
      <c r="Q42" s="1705" t="str">
        <f t="shared" si="11"/>
        <v>内部装修</v>
      </c>
      <c r="R42" s="1706" t="s">
        <v>18</v>
      </c>
      <c r="S42" s="1707">
        <f t="shared" si="12"/>
        <v>100</v>
      </c>
      <c r="T42" s="1706" t="s">
        <v>18</v>
      </c>
      <c r="U42" s="1707">
        <f t="shared" si="13"/>
        <v>100</v>
      </c>
      <c r="V42" s="1706" t="s">
        <v>18</v>
      </c>
      <c r="W42" s="1707">
        <f t="shared" si="14"/>
        <v>100</v>
      </c>
      <c r="X42" s="1646"/>
      <c r="Y42" s="3053"/>
      <c r="Z42" s="1708" t="str">
        <f t="shared" si="18"/>
        <v>内部装修</v>
      </c>
      <c r="AA42" s="1708">
        <f t="shared" si="15"/>
        <v>1</v>
      </c>
      <c r="AB42" s="1708">
        <f t="shared" si="16"/>
        <v>1</v>
      </c>
      <c r="AC42" s="1708">
        <f t="shared" si="17"/>
        <v>1</v>
      </c>
    </row>
    <row r="43" spans="1:29" ht="28">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51"/>
      <c r="Q43" s="1705" t="str">
        <f t="shared" si="11"/>
        <v>内部装修维护情况</v>
      </c>
      <c r="R43" s="1706" t="s">
        <v>18</v>
      </c>
      <c r="S43" s="1707">
        <f t="shared" si="12"/>
        <v>100</v>
      </c>
      <c r="T43" s="1706" t="s">
        <v>18</v>
      </c>
      <c r="U43" s="1707">
        <f t="shared" si="13"/>
        <v>100</v>
      </c>
      <c r="V43" s="1706" t="s">
        <v>18</v>
      </c>
      <c r="W43" s="1707">
        <f t="shared" si="14"/>
        <v>100</v>
      </c>
      <c r="X43" s="1646"/>
      <c r="Y43" s="3053"/>
      <c r="Z43" s="1708" t="str">
        <f t="shared" si="18"/>
        <v>内部装修维护情况</v>
      </c>
      <c r="AA43" s="1708">
        <f t="shared" si="15"/>
        <v>1</v>
      </c>
      <c r="AB43" s="1708">
        <f t="shared" si="16"/>
        <v>1</v>
      </c>
      <c r="AC43" s="1708">
        <f t="shared" si="17"/>
        <v>1</v>
      </c>
    </row>
    <row r="44" spans="1:29" s="1662" customFormat="1" ht="15.5">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51"/>
      <c r="Q44" s="1671">
        <f t="shared" si="11"/>
        <v>111</v>
      </c>
      <c r="R44" s="437" t="s">
        <v>18</v>
      </c>
      <c r="S44" s="1660">
        <f t="shared" si="12"/>
        <v>100</v>
      </c>
      <c r="T44" s="437" t="s">
        <v>18</v>
      </c>
      <c r="U44" s="1660">
        <f t="shared" si="13"/>
        <v>100</v>
      </c>
      <c r="V44" s="437" t="s">
        <v>18</v>
      </c>
      <c r="W44" s="1660">
        <f t="shared" si="14"/>
        <v>100</v>
      </c>
      <c r="X44" s="1661"/>
      <c r="Y44" s="3053"/>
      <c r="Z44" s="443">
        <f t="shared" si="18"/>
        <v>111</v>
      </c>
      <c r="AA44" s="443">
        <f t="shared" si="15"/>
        <v>1</v>
      </c>
      <c r="AB44" s="443">
        <f t="shared" si="16"/>
        <v>1</v>
      </c>
      <c r="AC44" s="443">
        <f t="shared" si="17"/>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51"/>
      <c r="Q45" s="1705">
        <f t="shared" si="11"/>
        <v>111</v>
      </c>
      <c r="R45" s="1706" t="s">
        <v>18</v>
      </c>
      <c r="S45" s="1707">
        <f t="shared" si="12"/>
        <v>100</v>
      </c>
      <c r="T45" s="1706" t="s">
        <v>18</v>
      </c>
      <c r="U45" s="1707">
        <f t="shared" si="13"/>
        <v>100</v>
      </c>
      <c r="V45" s="1706" t="s">
        <v>18</v>
      </c>
      <c r="W45" s="1707">
        <f t="shared" si="14"/>
        <v>100</v>
      </c>
      <c r="X45" s="1646"/>
      <c r="Y45" s="3053"/>
      <c r="Z45" s="1708">
        <f t="shared" si="18"/>
        <v>111</v>
      </c>
      <c r="AA45" s="1708">
        <f t="shared" si="15"/>
        <v>1</v>
      </c>
      <c r="AB45" s="1708">
        <f t="shared" si="16"/>
        <v>1</v>
      </c>
      <c r="AC45" s="1708">
        <f t="shared" si="17"/>
        <v>1</v>
      </c>
    </row>
    <row r="46" spans="1:29" ht="16"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52"/>
      <c r="Q46" s="1705">
        <f t="shared" si="11"/>
        <v>111</v>
      </c>
      <c r="R46" s="1706" t="s">
        <v>17</v>
      </c>
      <c r="S46" s="1707">
        <f t="shared" si="12"/>
        <v>100</v>
      </c>
      <c r="T46" s="1706" t="s">
        <v>17</v>
      </c>
      <c r="U46" s="1707">
        <f t="shared" si="13"/>
        <v>100</v>
      </c>
      <c r="V46" s="1706" t="s">
        <v>17</v>
      </c>
      <c r="W46" s="1707">
        <f t="shared" si="14"/>
        <v>100</v>
      </c>
      <c r="X46" s="1646"/>
      <c r="Y46" s="3054"/>
      <c r="Z46" s="1708">
        <f t="shared" si="18"/>
        <v>111</v>
      </c>
      <c r="AA46" s="1708">
        <f t="shared" si="15"/>
        <v>1</v>
      </c>
      <c r="AB46" s="1708">
        <f t="shared" si="16"/>
        <v>1</v>
      </c>
      <c r="AC46" s="1708">
        <f t="shared" si="17"/>
        <v>1</v>
      </c>
    </row>
    <row r="47" spans="1:29">
      <c r="A47" s="1751" t="s">
        <v>1936</v>
      </c>
      <c r="B47" s="1752"/>
      <c r="C47" s="1753" t="s">
        <v>16</v>
      </c>
      <c r="D47" s="1754"/>
      <c r="E47" s="1755"/>
      <c r="F47" s="1756"/>
      <c r="G47" s="1757"/>
      <c r="H47" s="1758"/>
      <c r="I47" s="1755"/>
      <c r="J47" s="1758"/>
      <c r="K47" s="1759"/>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1938</v>
      </c>
      <c r="B49" s="1770"/>
      <c r="C49" s="1771" t="e">
        <f>R49</f>
        <v>#DIV/0!</v>
      </c>
      <c r="D49" s="1652"/>
      <c r="E49" s="1652"/>
      <c r="F49" s="1652"/>
      <c r="G49" s="1652"/>
      <c r="H49" s="1652"/>
      <c r="I49" s="1652"/>
      <c r="J49" s="1652"/>
      <c r="K49" s="1696"/>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1.5"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c r="A58" s="1787" t="s">
        <v>1943</v>
      </c>
      <c r="B58" s="1788"/>
      <c r="C58" s="1789" t="str">
        <f>YEAR(C7)&amp;"-"&amp;MONTH(C7)</f>
        <v>2022-10</v>
      </c>
      <c r="D58" s="1790">
        <f>EDATE(C58,-1)</f>
        <v>44805</v>
      </c>
      <c r="E58" s="1790">
        <f>EDATE(D58,-1)</f>
        <v>44774</v>
      </c>
      <c r="F58" s="1790">
        <f t="shared" ref="F58:O58" si="19">EDATE(E58,-1)</f>
        <v>44743</v>
      </c>
      <c r="G58" s="1790">
        <f t="shared" si="19"/>
        <v>44713</v>
      </c>
      <c r="H58" s="1790">
        <f t="shared" si="19"/>
        <v>44682</v>
      </c>
      <c r="I58" s="1790">
        <f t="shared" si="19"/>
        <v>44652</v>
      </c>
      <c r="J58" s="1790">
        <f t="shared" si="19"/>
        <v>44621</v>
      </c>
      <c r="K58" s="1790">
        <f t="shared" si="19"/>
        <v>44593</v>
      </c>
      <c r="L58" s="1790">
        <f t="shared" si="19"/>
        <v>44562</v>
      </c>
      <c r="M58" s="1790">
        <f t="shared" si="19"/>
        <v>44531</v>
      </c>
      <c r="N58" s="1790">
        <f t="shared" si="19"/>
        <v>44501</v>
      </c>
      <c r="O58" s="1790">
        <f t="shared" si="19"/>
        <v>44470</v>
      </c>
      <c r="P58" s="1791"/>
    </row>
    <row r="59" spans="1:29" s="1662" customFormat="1">
      <c r="A59" s="1792"/>
      <c r="B59" s="1793"/>
      <c r="C59" s="1794">
        <v>100</v>
      </c>
      <c r="D59" s="1795"/>
      <c r="E59" s="1796"/>
      <c r="F59" s="1796"/>
      <c r="G59" s="1796"/>
      <c r="H59" s="1796"/>
      <c r="I59" s="1796"/>
      <c r="J59" s="1796"/>
      <c r="K59" s="1796"/>
      <c r="L59" s="1796"/>
      <c r="M59" s="1686"/>
      <c r="N59" s="1796"/>
      <c r="O59" s="1686"/>
      <c r="P59" s="1797"/>
    </row>
    <row r="60" spans="1:29" s="1662" customFormat="1" ht="14.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4.5" thickBot="1">
      <c r="A62" s="1802"/>
      <c r="B62" s="1803"/>
      <c r="C62" s="1795">
        <v>100</v>
      </c>
      <c r="D62" s="1796"/>
      <c r="E62" s="1796"/>
      <c r="F62" s="1796"/>
      <c r="G62" s="1796"/>
      <c r="H62" s="1796"/>
      <c r="I62" s="1796"/>
      <c r="J62" s="1796"/>
      <c r="K62" s="1796"/>
      <c r="L62" s="1796"/>
      <c r="M62" s="1810"/>
      <c r="N62" s="1808"/>
      <c r="O62" s="1808"/>
      <c r="P62" s="1797"/>
      <c r="Q62" s="1786"/>
    </row>
    <row r="63" spans="1:29">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4.5" thickBot="1">
      <c r="A64" s="1681"/>
      <c r="B64" s="1818"/>
      <c r="C64" s="1819">
        <v>100</v>
      </c>
      <c r="D64" s="1819"/>
      <c r="E64" s="1819"/>
      <c r="F64" s="1819"/>
      <c r="G64" s="1819"/>
      <c r="H64" s="1819"/>
      <c r="I64" s="1819"/>
      <c r="J64" s="1819"/>
      <c r="K64" s="1819"/>
      <c r="L64" s="1819"/>
      <c r="M64" s="1820"/>
      <c r="N64" s="1821"/>
      <c r="O64" s="1821"/>
      <c r="P64" s="1797"/>
      <c r="Q64" s="1786"/>
    </row>
    <row r="65" spans="1:17"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4.5"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4.5"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c r="A68" s="1681"/>
      <c r="B68" s="1832"/>
      <c r="C68" s="1833"/>
      <c r="D68" s="1833"/>
      <c r="E68" s="1833"/>
      <c r="F68" s="1833"/>
      <c r="G68" s="1833"/>
      <c r="H68" s="1833"/>
      <c r="I68" s="1833"/>
      <c r="J68" s="1833"/>
      <c r="K68" s="1834"/>
      <c r="L68" s="1835"/>
      <c r="M68" s="1836"/>
      <c r="N68" s="1817"/>
      <c r="O68" s="1817"/>
      <c r="P68" s="1797"/>
      <c r="Q68" s="1786"/>
    </row>
    <row r="69" spans="1:17" ht="14.5"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4.5"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4.5" thickBot="1">
      <c r="A71" s="1837"/>
      <c r="B71" s="1827"/>
      <c r="C71" s="1845"/>
      <c r="D71" s="1819"/>
      <c r="E71" s="1819"/>
      <c r="F71" s="1819"/>
      <c r="G71" s="1819"/>
      <c r="H71" s="1819"/>
      <c r="I71" s="1819"/>
      <c r="J71" s="1819"/>
      <c r="K71" s="1819"/>
      <c r="L71" s="1819"/>
      <c r="M71" s="1820"/>
      <c r="N71" s="1821"/>
      <c r="O71" s="1821"/>
      <c r="P71" s="1843"/>
      <c r="Q71" s="1844"/>
    </row>
    <row r="72" spans="1:17" s="1746" customFormat="1" ht="14.5" thickTop="1">
      <c r="A72" s="1837"/>
      <c r="B72" s="1822">
        <f>B13</f>
        <v>111</v>
      </c>
      <c r="C72" s="1838"/>
      <c r="D72" s="1838"/>
      <c r="E72" s="1838"/>
      <c r="F72" s="1838"/>
      <c r="G72" s="1838"/>
      <c r="H72" s="1839"/>
      <c r="I72" s="1839"/>
      <c r="J72" s="1839"/>
      <c r="K72" s="1839"/>
      <c r="L72" s="1840"/>
      <c r="M72" s="1841"/>
      <c r="N72" s="1842"/>
      <c r="O72" s="1842"/>
      <c r="P72" s="1846"/>
    </row>
    <row r="73" spans="1:17" s="1746" customFormat="1" ht="14.5" thickBot="1">
      <c r="A73" s="1837"/>
      <c r="B73" s="1827"/>
      <c r="C73" s="1845"/>
      <c r="D73" s="1845"/>
      <c r="E73" s="1845"/>
      <c r="F73" s="1845"/>
      <c r="G73" s="1845"/>
      <c r="H73" s="1847"/>
      <c r="I73" s="1847"/>
      <c r="J73" s="1847"/>
      <c r="K73" s="1847"/>
      <c r="L73" s="1847"/>
      <c r="M73" s="1848"/>
      <c r="N73" s="1842"/>
      <c r="O73" s="1842"/>
      <c r="P73" s="1843"/>
      <c r="Q73" s="1844"/>
    </row>
    <row r="74" spans="1:17" s="1746" customFormat="1" ht="14.5"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4.5" thickBot="1">
      <c r="A75" s="1853"/>
      <c r="B75" s="1854"/>
      <c r="C75" s="1855"/>
      <c r="D75" s="1855"/>
      <c r="E75" s="1855"/>
      <c r="F75" s="1855"/>
      <c r="G75" s="1855"/>
      <c r="H75" s="1856"/>
      <c r="I75" s="1856"/>
      <c r="J75" s="1856"/>
      <c r="K75" s="1856"/>
      <c r="L75" s="1856"/>
      <c r="M75" s="1857"/>
      <c r="N75" s="1842"/>
      <c r="O75" s="1842"/>
      <c r="P75" s="1843"/>
      <c r="Q75" s="1844"/>
    </row>
    <row r="76" spans="1:17">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4.5"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4.5"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4.5"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4.5"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4.5"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4.5"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4.5"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4.5"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4.5"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5"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4.5"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4.5"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4.5"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4.5"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4.5" thickBot="1">
      <c r="A91" s="1837"/>
      <c r="B91" s="1827"/>
      <c r="C91" s="1845"/>
      <c r="D91" s="1845"/>
      <c r="E91" s="1845"/>
      <c r="F91" s="1845"/>
      <c r="G91" s="1845"/>
      <c r="H91" s="1847"/>
      <c r="I91" s="1847"/>
      <c r="J91" s="1847"/>
      <c r="K91" s="1847"/>
      <c r="L91" s="1847"/>
      <c r="M91" s="1848"/>
      <c r="N91" s="1842"/>
      <c r="O91" s="1842"/>
      <c r="P91" s="1843"/>
      <c r="Q91" s="1844"/>
    </row>
    <row r="92" spans="1:17" ht="14.5" thickTop="1">
      <c r="A92" s="1681"/>
      <c r="B92" s="1822">
        <f>B28</f>
        <v>111</v>
      </c>
      <c r="C92" s="1838"/>
      <c r="D92" s="1838"/>
      <c r="E92" s="1838"/>
      <c r="F92" s="1838"/>
      <c r="G92" s="1869"/>
      <c r="H92" s="1869"/>
      <c r="I92" s="1869"/>
      <c r="J92" s="1869"/>
      <c r="K92" s="1870"/>
      <c r="L92" s="1871"/>
      <c r="M92" s="1872"/>
      <c r="N92" s="1817"/>
      <c r="O92" s="1817"/>
      <c r="P92" s="1797"/>
      <c r="Q92" s="1786"/>
    </row>
    <row r="93" spans="1:17" ht="14.5" thickBot="1">
      <c r="A93" s="1681"/>
      <c r="B93" s="1827"/>
      <c r="C93" s="1845"/>
      <c r="D93" s="1819"/>
      <c r="E93" s="1819"/>
      <c r="F93" s="1819"/>
      <c r="G93" s="1819"/>
      <c r="H93" s="1819"/>
      <c r="I93" s="1819"/>
      <c r="J93" s="1819"/>
      <c r="K93" s="1819"/>
      <c r="L93" s="1819"/>
      <c r="M93" s="1820"/>
      <c r="N93" s="1821"/>
      <c r="O93" s="1821"/>
      <c r="P93" s="1797"/>
      <c r="Q93" s="1786"/>
    </row>
    <row r="94" spans="1:17" ht="14.5" thickTop="1">
      <c r="A94" s="1681"/>
      <c r="B94" s="1822">
        <f>B29</f>
        <v>111</v>
      </c>
      <c r="C94" s="1838"/>
      <c r="D94" s="1838"/>
      <c r="E94" s="1838"/>
      <c r="F94" s="1838"/>
      <c r="G94" s="1869"/>
      <c r="H94" s="1869"/>
      <c r="I94" s="1869"/>
      <c r="J94" s="1869"/>
      <c r="K94" s="1870"/>
      <c r="L94" s="1871"/>
      <c r="M94" s="1872"/>
      <c r="N94" s="1817"/>
      <c r="O94" s="1817"/>
      <c r="P94" s="1797"/>
      <c r="Q94" s="1786"/>
    </row>
    <row r="95" spans="1:17" ht="14.5" thickBot="1">
      <c r="A95" s="1681"/>
      <c r="B95" s="1827"/>
      <c r="C95" s="1845"/>
      <c r="D95" s="1845"/>
      <c r="E95" s="1845"/>
      <c r="F95" s="1845"/>
      <c r="G95" s="1819"/>
      <c r="H95" s="1819"/>
      <c r="I95" s="1819"/>
      <c r="J95" s="1819"/>
      <c r="K95" s="1819"/>
      <c r="L95" s="1819"/>
      <c r="M95" s="1820"/>
      <c r="N95" s="1821"/>
      <c r="O95" s="1821"/>
      <c r="P95" s="1797"/>
      <c r="Q95" s="1786"/>
    </row>
    <row r="96" spans="1:17" ht="14.5" thickTop="1">
      <c r="A96" s="1681"/>
      <c r="B96" s="1822">
        <f>B30</f>
        <v>111</v>
      </c>
      <c r="C96" s="1838"/>
      <c r="D96" s="1838"/>
      <c r="E96" s="1838"/>
      <c r="F96" s="1838"/>
      <c r="G96" s="1869"/>
      <c r="H96" s="1869"/>
      <c r="I96" s="1869"/>
      <c r="J96" s="1869"/>
      <c r="K96" s="1870"/>
      <c r="L96" s="1871"/>
      <c r="M96" s="1872"/>
      <c r="N96" s="1817"/>
      <c r="O96" s="1817"/>
      <c r="P96" s="1797"/>
      <c r="Q96" s="1786"/>
    </row>
    <row r="97" spans="1:17" ht="14.5" thickBot="1">
      <c r="A97" s="1681"/>
      <c r="B97" s="1827"/>
      <c r="C97" s="1855"/>
      <c r="D97" s="1855"/>
      <c r="E97" s="1855"/>
      <c r="F97" s="1855"/>
      <c r="G97" s="1819"/>
      <c r="H97" s="1819"/>
      <c r="I97" s="1819"/>
      <c r="J97" s="1819"/>
      <c r="K97" s="1819"/>
      <c r="L97" s="1819"/>
      <c r="M97" s="1820"/>
      <c r="N97" s="1821"/>
      <c r="O97" s="1821"/>
      <c r="P97" s="1797"/>
      <c r="Q97" s="1786"/>
    </row>
    <row r="98" spans="1:17" ht="14.5" thickTop="1">
      <c r="A98" s="1681"/>
      <c r="B98" s="1830">
        <f>B31</f>
        <v>111</v>
      </c>
      <c r="C98" s="1873"/>
      <c r="D98" s="1873"/>
      <c r="E98" s="1873"/>
      <c r="F98" s="1873"/>
      <c r="G98" s="1873"/>
      <c r="H98" s="1873"/>
      <c r="I98" s="1873"/>
      <c r="J98" s="1873"/>
      <c r="K98" s="1874"/>
      <c r="L98" s="1875"/>
      <c r="M98" s="1876"/>
      <c r="N98" s="1817"/>
      <c r="O98" s="1817"/>
      <c r="P98" s="1797"/>
      <c r="Q98" s="1786"/>
    </row>
    <row r="99" spans="1:17" ht="14.5" thickBot="1">
      <c r="A99" s="1693"/>
      <c r="B99" s="1854"/>
      <c r="C99" s="1877"/>
      <c r="D99" s="1877"/>
      <c r="E99" s="1877"/>
      <c r="F99" s="1877"/>
      <c r="G99" s="1877"/>
      <c r="H99" s="1877"/>
      <c r="I99" s="1877"/>
      <c r="J99" s="1877"/>
      <c r="K99" s="1877"/>
      <c r="L99" s="1877"/>
      <c r="M99" s="1878"/>
      <c r="N99" s="1821"/>
      <c r="O99" s="1821"/>
      <c r="P99" s="1797"/>
      <c r="Q99" s="1786"/>
    </row>
    <row r="100" spans="1:17">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4.5"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4.5"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4.5" thickBot="1">
      <c r="A104" s="1837"/>
      <c r="B104" s="1827"/>
      <c r="C104" s="1845"/>
      <c r="D104" s="1819"/>
      <c r="E104" s="1819"/>
      <c r="F104" s="1819"/>
      <c r="G104" s="1819"/>
      <c r="H104" s="1819"/>
      <c r="I104" s="1819"/>
      <c r="J104" s="1819"/>
      <c r="K104" s="1819"/>
      <c r="L104" s="1819"/>
      <c r="M104" s="1819"/>
      <c r="N104" s="1821"/>
      <c r="O104" s="1821"/>
      <c r="P104" s="1843"/>
      <c r="Q104" s="1844"/>
    </row>
    <row r="105" spans="1:17" ht="14.5"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4.5"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4.5"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4.5"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4.5"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4.5"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4.5"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4.5"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4.5"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4.5"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4.5"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4.5"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4.5"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29"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4.5" thickBot="1">
      <c r="A121" s="1837"/>
      <c r="B121" s="1818"/>
      <c r="C121" s="1845"/>
      <c r="D121" s="1819"/>
      <c r="E121" s="1819"/>
      <c r="F121" s="1819"/>
      <c r="G121" s="1819"/>
      <c r="H121" s="1819"/>
      <c r="I121" s="1819"/>
      <c r="J121" s="1819"/>
      <c r="K121" s="1819"/>
      <c r="L121" s="1819"/>
      <c r="M121" s="1819"/>
      <c r="N121" s="1842"/>
      <c r="O121" s="1842"/>
      <c r="P121" s="1843"/>
      <c r="Q121" s="1844"/>
    </row>
    <row r="122" spans="1:17" ht="14.5"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4.5"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4.5"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4.5" thickBot="1">
      <c r="A127" s="1837"/>
      <c r="B127" s="1827"/>
      <c r="C127" s="1845"/>
      <c r="D127" s="1819"/>
      <c r="E127" s="1819"/>
      <c r="F127" s="1819"/>
      <c r="G127" s="1845"/>
      <c r="H127" s="1847"/>
      <c r="I127" s="1847"/>
      <c r="J127" s="1847"/>
      <c r="K127" s="1847"/>
      <c r="L127" s="1847"/>
      <c r="M127" s="1848"/>
      <c r="N127" s="1842"/>
      <c r="O127" s="1842"/>
      <c r="P127" s="1843"/>
      <c r="Q127" s="1844"/>
    </row>
    <row r="128" spans="1:17" ht="14.5"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4.5" thickBot="1">
      <c r="A129" s="1681"/>
      <c r="B129" s="1827"/>
      <c r="C129" s="1845"/>
      <c r="D129" s="1845"/>
      <c r="E129" s="1845"/>
      <c r="F129" s="1845"/>
      <c r="G129" s="1819"/>
      <c r="H129" s="1819"/>
      <c r="I129" s="1819"/>
      <c r="J129" s="1819"/>
      <c r="K129" s="1819"/>
      <c r="L129" s="1819"/>
      <c r="M129" s="1820"/>
      <c r="N129" s="1821"/>
      <c r="O129" s="1821"/>
      <c r="P129" s="1797"/>
      <c r="Q129" s="1786"/>
    </row>
    <row r="130" spans="1:17" ht="14.5"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4.5" thickBot="1">
      <c r="A131" s="1693"/>
      <c r="B131" s="1854"/>
      <c r="C131" s="1855"/>
      <c r="D131" s="1855"/>
      <c r="E131" s="1855"/>
      <c r="F131" s="1855"/>
      <c r="G131" s="1877"/>
      <c r="H131" s="1877"/>
      <c r="I131" s="1877"/>
      <c r="J131" s="1877"/>
      <c r="K131" s="1877"/>
      <c r="L131" s="1877"/>
      <c r="M131" s="1878"/>
      <c r="N131" s="1821"/>
      <c r="O131" s="1821"/>
      <c r="P131" s="1797"/>
      <c r="Q131" s="1786"/>
    </row>
    <row r="136" spans="1:17" ht="14.5" thickBot="1">
      <c r="B136" s="1891" t="s">
        <v>1981</v>
      </c>
    </row>
    <row r="137" spans="1:17" ht="15.5">
      <c r="B137" s="1892" t="s">
        <v>1982</v>
      </c>
      <c r="C137" s="1893"/>
      <c r="D137" s="1893"/>
      <c r="E137" s="1893"/>
      <c r="F137" s="1893"/>
      <c r="G137" s="1894"/>
      <c r="H137" s="1895"/>
      <c r="I137" s="1896" t="s">
        <v>1983</v>
      </c>
      <c r="J137" s="1893"/>
      <c r="K137" s="1897"/>
    </row>
    <row r="138" spans="1:17" ht="15.5">
      <c r="B138" s="1898"/>
      <c r="C138" s="828" t="s">
        <v>1984</v>
      </c>
      <c r="D138" s="828" t="s">
        <v>1985</v>
      </c>
      <c r="E138" s="1899" t="s">
        <v>1986</v>
      </c>
      <c r="F138" s="1900" t="s">
        <v>1987</v>
      </c>
      <c r="G138" s="828" t="s">
        <v>1985</v>
      </c>
      <c r="H138" s="441" t="s">
        <v>1986</v>
      </c>
      <c r="I138" s="1901"/>
      <c r="J138" s="828" t="s">
        <v>1988</v>
      </c>
      <c r="K138" s="441" t="s">
        <v>1989</v>
      </c>
    </row>
    <row r="139" spans="1:17" ht="15.5">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5.5">
      <c r="B140" s="1910">
        <v>5</v>
      </c>
      <c r="C140" s="1911">
        <v>100</v>
      </c>
      <c r="D140" s="1911"/>
      <c r="E140" s="1912"/>
      <c r="F140" s="1913">
        <v>102</v>
      </c>
      <c r="G140" s="1911"/>
      <c r="H140" s="1914"/>
      <c r="I140" s="1915" t="s">
        <v>1992</v>
      </c>
      <c r="J140" s="1135">
        <f>ROUNDUP((J139-1)/2,0)</f>
        <v>10</v>
      </c>
      <c r="K140" s="1916">
        <v>100</v>
      </c>
    </row>
    <row r="141" spans="1:17" ht="15.5">
      <c r="B141" s="1910">
        <v>4</v>
      </c>
      <c r="C141" s="1911">
        <v>102</v>
      </c>
      <c r="D141" s="1911"/>
      <c r="E141" s="1912"/>
      <c r="F141" s="1913">
        <v>101.5</v>
      </c>
      <c r="G141" s="1911"/>
      <c r="H141" s="1914"/>
      <c r="I141" s="1915" t="s">
        <v>1993</v>
      </c>
      <c r="J141" s="1135">
        <v>1</v>
      </c>
      <c r="K141" s="1916">
        <f>ROUND(100+(J141-J140)*K139*100,1)</f>
        <v>96.4</v>
      </c>
    </row>
    <row r="142" spans="1:17" ht="15.5">
      <c r="B142" s="1910">
        <v>3</v>
      </c>
      <c r="C142" s="1911">
        <v>103</v>
      </c>
      <c r="D142" s="1911"/>
      <c r="E142" s="1912"/>
      <c r="F142" s="1913">
        <v>101</v>
      </c>
      <c r="G142" s="1911"/>
      <c r="H142" s="1914"/>
      <c r="I142" s="1915" t="s">
        <v>1994</v>
      </c>
      <c r="J142" s="1135">
        <f>J139</f>
        <v>20</v>
      </c>
      <c r="K142" s="1914">
        <v>95</v>
      </c>
    </row>
    <row r="143" spans="1:17" ht="15.5">
      <c r="B143" s="1910">
        <v>2</v>
      </c>
      <c r="C143" s="1911">
        <v>100</v>
      </c>
      <c r="D143" s="1911"/>
      <c r="E143" s="1912"/>
      <c r="F143" s="1913">
        <v>100.5</v>
      </c>
      <c r="G143" s="1911"/>
      <c r="H143" s="1914"/>
      <c r="I143" s="1915" t="s">
        <v>1995</v>
      </c>
      <c r="J143" s="1911">
        <v>15</v>
      </c>
      <c r="K143" s="1916">
        <f>ROUND(100+(J143-J140)*K139*100,1)</f>
        <v>102</v>
      </c>
    </row>
    <row r="144" spans="1:17" ht="15.5">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6"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c r="B147" s="1891" t="s">
        <v>1999</v>
      </c>
    </row>
    <row r="148" spans="2:11">
      <c r="B148" s="1891"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5.0898437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77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47"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47"/>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47"/>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6" si="3">D8/F8</f>
        <v>#DIV/0!</v>
      </c>
      <c r="AB8" s="443" t="e">
        <f t="shared" ref="AB8:AB46" si="4">D8/H8</f>
        <v>#DIV/0!</v>
      </c>
      <c r="AC8" s="443" t="e">
        <f t="shared" ref="AC8:AC46" si="5">D8/J8</f>
        <v>#DIV/0!</v>
      </c>
    </row>
    <row r="9" spans="1:29" s="1662" customFormat="1">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55" t="s">
        <v>1919</v>
      </c>
      <c r="Q15" s="1705" t="str">
        <f t="shared" si="6"/>
        <v>商业繁华度</v>
      </c>
      <c r="R15" s="1706" t="s">
        <v>14</v>
      </c>
      <c r="S15" s="1707">
        <f t="shared" si="0"/>
        <v>100</v>
      </c>
      <c r="T15" s="1706" t="s">
        <v>14</v>
      </c>
      <c r="U15" s="1707">
        <f t="shared" si="1"/>
        <v>100</v>
      </c>
      <c r="V15" s="1706" t="s">
        <v>14</v>
      </c>
      <c r="W15" s="1707">
        <f t="shared" si="2"/>
        <v>100</v>
      </c>
      <c r="X15" s="1646"/>
      <c r="Y15" s="3048" t="s">
        <v>1919</v>
      </c>
      <c r="Z15" s="1708" t="str">
        <f t="shared" si="7"/>
        <v>商业繁华度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56"/>
      <c r="Q23" s="1705" t="str">
        <f>B23</f>
        <v>自然及人文环境</v>
      </c>
      <c r="R23" s="1706" t="s">
        <v>14</v>
      </c>
      <c r="S23" s="1707">
        <f>F23</f>
        <v>100</v>
      </c>
      <c r="T23" s="1706" t="s">
        <v>14</v>
      </c>
      <c r="U23" s="1707">
        <f>H23</f>
        <v>100</v>
      </c>
      <c r="V23" s="1706" t="s">
        <v>14</v>
      </c>
      <c r="W23" s="1707">
        <f>J23</f>
        <v>100</v>
      </c>
      <c r="X23" s="1646"/>
      <c r="Y23" s="3049"/>
      <c r="Z23" s="1708" t="str">
        <f>Q23</f>
        <v>自然及人文环境</v>
      </c>
      <c r="AA23" s="1708">
        <f t="shared" si="3"/>
        <v>1</v>
      </c>
      <c r="AB23" s="1708">
        <f t="shared" si="4"/>
        <v>1</v>
      </c>
      <c r="AC23" s="1708">
        <f t="shared" si="5"/>
        <v>1</v>
      </c>
    </row>
    <row r="24" spans="1:29" ht="15.5">
      <c r="A24" s="1681"/>
      <c r="B24" s="1720"/>
      <c r="C24" s="1710"/>
      <c r="D24" s="1711"/>
      <c r="E24" s="1712"/>
      <c r="F24" s="1945"/>
      <c r="G24" s="1710"/>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56"/>
      <c r="Q25" s="1705" t="str">
        <f t="shared" ref="Q25:Q46" si="11">B25</f>
        <v>临街状况</v>
      </c>
      <c r="R25" s="1706" t="s">
        <v>14</v>
      </c>
      <c r="S25" s="1707">
        <f>F25</f>
        <v>100</v>
      </c>
      <c r="T25" s="1706" t="s">
        <v>14</v>
      </c>
      <c r="U25" s="1707">
        <f>H25</f>
        <v>100</v>
      </c>
      <c r="V25" s="1706" t="s">
        <v>14</v>
      </c>
      <c r="W25" s="1707">
        <f>J25</f>
        <v>100</v>
      </c>
      <c r="X25" s="1646"/>
      <c r="Y25" s="3049"/>
      <c r="Z25" s="1708" t="str">
        <f>Q25</f>
        <v>临街状况</v>
      </c>
      <c r="AA25" s="1708">
        <f t="shared" si="3"/>
        <v>1</v>
      </c>
      <c r="AB25" s="1708">
        <f t="shared" si="4"/>
        <v>1</v>
      </c>
      <c r="AC25" s="1708">
        <f t="shared" si="5"/>
        <v>1</v>
      </c>
    </row>
    <row r="26" spans="1:29" ht="15.5">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56"/>
      <c r="Q26" s="1705" t="str">
        <f t="shared" si="11"/>
        <v>平面位置/可视性</v>
      </c>
      <c r="R26" s="1706" t="s">
        <v>14</v>
      </c>
      <c r="S26" s="1707">
        <f>F26</f>
        <v>100</v>
      </c>
      <c r="T26" s="1706" t="s">
        <v>14</v>
      </c>
      <c r="U26" s="1707">
        <f>H26</f>
        <v>100</v>
      </c>
      <c r="V26" s="1706" t="s">
        <v>14</v>
      </c>
      <c r="W26" s="1707">
        <f>J26</f>
        <v>100</v>
      </c>
      <c r="X26" s="1646"/>
      <c r="Y26" s="3049"/>
      <c r="Z26" s="1708" t="str">
        <f>Q26</f>
        <v>平面位置/可视性</v>
      </c>
      <c r="AA26" s="1708">
        <f t="shared" si="3"/>
        <v>1</v>
      </c>
      <c r="AB26" s="1708">
        <f t="shared" si="4"/>
        <v>1</v>
      </c>
      <c r="AC26" s="1708">
        <f t="shared" si="5"/>
        <v>1</v>
      </c>
    </row>
    <row r="27" spans="1:29" s="1662" customFormat="1" ht="15.5">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56"/>
      <c r="Q27" s="1671" t="str">
        <f t="shared" si="11"/>
        <v>人流量</v>
      </c>
      <c r="R27" s="437" t="s">
        <v>14</v>
      </c>
      <c r="S27" s="1660">
        <f>F27</f>
        <v>100</v>
      </c>
      <c r="T27" s="437" t="s">
        <v>14</v>
      </c>
      <c r="U27" s="1660">
        <f>H27</f>
        <v>100</v>
      </c>
      <c r="V27" s="437" t="s">
        <v>14</v>
      </c>
      <c r="W27" s="1660">
        <f>J27</f>
        <v>100</v>
      </c>
      <c r="X27" s="1661"/>
      <c r="Y27" s="3049"/>
      <c r="Z27" s="443" t="str">
        <f>Q27</f>
        <v>人流量</v>
      </c>
      <c r="AA27" s="1708">
        <f>D27/F27</f>
        <v>1</v>
      </c>
      <c r="AB27" s="1708">
        <f>D27/H27</f>
        <v>1</v>
      </c>
      <c r="AC27" s="1708">
        <f>D27/J27</f>
        <v>1</v>
      </c>
    </row>
    <row r="28" spans="1:29" ht="15.5">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56"/>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49"/>
      <c r="Z28" s="1708" t="str">
        <f t="shared" ref="Z28:Z46" si="15">Q28</f>
        <v>楼层</v>
      </c>
      <c r="AA28" s="1708">
        <f t="shared" si="3"/>
        <v>1</v>
      </c>
      <c r="AB28" s="1708">
        <f t="shared" si="4"/>
        <v>1</v>
      </c>
      <c r="AC28" s="1708">
        <f t="shared" si="5"/>
        <v>1</v>
      </c>
    </row>
    <row r="29" spans="1:29" ht="15.5">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56"/>
      <c r="Q29" s="1705">
        <f t="shared" si="11"/>
        <v>111</v>
      </c>
      <c r="R29" s="1706" t="s">
        <v>14</v>
      </c>
      <c r="S29" s="1707">
        <f t="shared" si="12"/>
        <v>100</v>
      </c>
      <c r="T29" s="1706" t="s">
        <v>14</v>
      </c>
      <c r="U29" s="1707">
        <f t="shared" si="13"/>
        <v>100</v>
      </c>
      <c r="V29" s="1706" t="s">
        <v>14</v>
      </c>
      <c r="W29" s="1707">
        <f t="shared" si="14"/>
        <v>100</v>
      </c>
      <c r="X29" s="1646"/>
      <c r="Y29" s="3049"/>
      <c r="Z29" s="1708">
        <f t="shared" si="15"/>
        <v>111</v>
      </c>
      <c r="AA29" s="1708">
        <f t="shared" si="3"/>
        <v>1</v>
      </c>
      <c r="AB29" s="1708">
        <f t="shared" si="4"/>
        <v>1</v>
      </c>
      <c r="AC29" s="1708">
        <f t="shared" si="5"/>
        <v>1</v>
      </c>
    </row>
    <row r="30" spans="1:29" ht="15.5">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708">
        <f t="shared" si="5"/>
        <v>1</v>
      </c>
    </row>
    <row r="31" spans="1:29" ht="16"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708">
        <f t="shared" si="5"/>
        <v>1</v>
      </c>
    </row>
    <row r="32" spans="1:29" ht="15.5">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50" t="s">
        <v>1924</v>
      </c>
      <c r="Q32" s="1705" t="str">
        <f t="shared" si="11"/>
        <v>商业类型</v>
      </c>
      <c r="R32" s="1706" t="s">
        <v>14</v>
      </c>
      <c r="S32" s="1707">
        <f t="shared" si="12"/>
        <v>100</v>
      </c>
      <c r="T32" s="1706" t="s">
        <v>14</v>
      </c>
      <c r="U32" s="1707">
        <f t="shared" si="13"/>
        <v>100</v>
      </c>
      <c r="V32" s="1706" t="s">
        <v>14</v>
      </c>
      <c r="W32" s="1707">
        <f t="shared" si="14"/>
        <v>100</v>
      </c>
      <c r="X32" s="1646"/>
      <c r="Y32" s="3053" t="s">
        <v>1924</v>
      </c>
      <c r="Z32" s="1708" t="str">
        <f t="shared" si="15"/>
        <v>商业类型</v>
      </c>
      <c r="AA32" s="1708">
        <f t="shared" si="3"/>
        <v>1</v>
      </c>
      <c r="AB32" s="1708">
        <f t="shared" si="4"/>
        <v>1</v>
      </c>
      <c r="AC32" s="1708">
        <f t="shared" si="5"/>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51"/>
      <c r="Q33" s="1741" t="str">
        <f t="shared" si="11"/>
        <v>项目建筑规模</v>
      </c>
      <c r="R33" s="1742" t="s">
        <v>14</v>
      </c>
      <c r="S33" s="1743" t="e">
        <f t="shared" si="12"/>
        <v>#N/A</v>
      </c>
      <c r="T33" s="1742" t="s">
        <v>14</v>
      </c>
      <c r="U33" s="1743" t="e">
        <f t="shared" si="13"/>
        <v>#N/A</v>
      </c>
      <c r="V33" s="1742" t="s">
        <v>14</v>
      </c>
      <c r="W33" s="1743" t="e">
        <f t="shared" si="14"/>
        <v>#N/A</v>
      </c>
      <c r="X33" s="1744"/>
      <c r="Y33" s="3053"/>
      <c r="Z33" s="1745" t="str">
        <f t="shared" si="15"/>
        <v>项目建筑规模</v>
      </c>
      <c r="AA33" s="1708" t="e">
        <f t="shared" si="3"/>
        <v>#N/A</v>
      </c>
      <c r="AB33" s="1708" t="e">
        <f t="shared" si="4"/>
        <v>#N/A</v>
      </c>
      <c r="AC33" s="1708" t="e">
        <f t="shared" si="5"/>
        <v>#N/A</v>
      </c>
    </row>
    <row r="34" spans="1:29" ht="15.5">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51"/>
      <c r="Q34" s="1705" t="str">
        <f t="shared" si="11"/>
        <v>建筑结构</v>
      </c>
      <c r="R34" s="1706" t="s">
        <v>14</v>
      </c>
      <c r="S34" s="1707">
        <f t="shared" si="12"/>
        <v>100</v>
      </c>
      <c r="T34" s="1706" t="s">
        <v>14</v>
      </c>
      <c r="U34" s="1707">
        <f t="shared" si="13"/>
        <v>100</v>
      </c>
      <c r="V34" s="1706" t="s">
        <v>14</v>
      </c>
      <c r="W34" s="1707">
        <f t="shared" si="14"/>
        <v>100</v>
      </c>
      <c r="X34" s="1646"/>
      <c r="Y34" s="3053"/>
      <c r="Z34" s="1708" t="str">
        <f t="shared" si="15"/>
        <v>建筑结构</v>
      </c>
      <c r="AA34" s="1708">
        <f t="shared" si="3"/>
        <v>1</v>
      </c>
      <c r="AB34" s="1708">
        <f t="shared" si="4"/>
        <v>1</v>
      </c>
      <c r="AC34" s="1708">
        <f t="shared" si="5"/>
        <v>1</v>
      </c>
    </row>
    <row r="35" spans="1:29" ht="15.5">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51"/>
      <c r="Q35" s="1705" t="str">
        <f t="shared" si="11"/>
        <v>公共部分装修</v>
      </c>
      <c r="R35" s="1706" t="s">
        <v>14</v>
      </c>
      <c r="S35" s="1707">
        <f t="shared" si="12"/>
        <v>100</v>
      </c>
      <c r="T35" s="1706" t="s">
        <v>14</v>
      </c>
      <c r="U35" s="1707">
        <f t="shared" si="13"/>
        <v>100</v>
      </c>
      <c r="V35" s="1706" t="s">
        <v>14</v>
      </c>
      <c r="W35" s="1707">
        <f t="shared" si="14"/>
        <v>100</v>
      </c>
      <c r="X35" s="1646"/>
      <c r="Y35" s="3053"/>
      <c r="Z35" s="1708" t="str">
        <f t="shared" si="15"/>
        <v>公共部分装修</v>
      </c>
      <c r="AA35" s="1708">
        <f t="shared" si="3"/>
        <v>1</v>
      </c>
      <c r="AB35" s="1708">
        <f t="shared" si="4"/>
        <v>1</v>
      </c>
      <c r="AC35" s="1708">
        <f t="shared" si="5"/>
        <v>1</v>
      </c>
    </row>
    <row r="36" spans="1:29" ht="15.5">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51"/>
      <c r="Q36" s="1705" t="str">
        <f t="shared" si="11"/>
        <v>成新度</v>
      </c>
      <c r="R36" s="1706" t="s">
        <v>14</v>
      </c>
      <c r="S36" s="1707" t="e">
        <f t="shared" si="12"/>
        <v>#N/A</v>
      </c>
      <c r="T36" s="1706" t="s">
        <v>14</v>
      </c>
      <c r="U36" s="1707" t="e">
        <f t="shared" si="13"/>
        <v>#N/A</v>
      </c>
      <c r="V36" s="1706" t="s">
        <v>14</v>
      </c>
      <c r="W36" s="1707" t="e">
        <f t="shared" si="14"/>
        <v>#N/A</v>
      </c>
      <c r="X36" s="1646"/>
      <c r="Y36" s="3053"/>
      <c r="Z36" s="1708" t="str">
        <f t="shared" si="15"/>
        <v>成新度</v>
      </c>
      <c r="AA36" s="1708" t="e">
        <f t="shared" si="3"/>
        <v>#N/A</v>
      </c>
      <c r="AB36" s="1708" t="e">
        <f t="shared" si="4"/>
        <v>#N/A</v>
      </c>
      <c r="AC36" s="1708" t="e">
        <f t="shared" si="5"/>
        <v>#N/A</v>
      </c>
    </row>
    <row r="37" spans="1:29" s="1662" customFormat="1" ht="15.5">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51"/>
      <c r="Q37" s="1671" t="str">
        <f t="shared" si="11"/>
        <v>市政基础设施</v>
      </c>
      <c r="R37" s="437" t="s">
        <v>14</v>
      </c>
      <c r="S37" s="1660">
        <f t="shared" si="12"/>
        <v>100</v>
      </c>
      <c r="T37" s="437" t="s">
        <v>14</v>
      </c>
      <c r="U37" s="1660">
        <f t="shared" si="13"/>
        <v>100</v>
      </c>
      <c r="V37" s="437" t="s">
        <v>14</v>
      </c>
      <c r="W37" s="1660">
        <f t="shared" si="14"/>
        <v>100</v>
      </c>
      <c r="X37" s="1661"/>
      <c r="Y37" s="3053"/>
      <c r="Z37" s="443" t="str">
        <f t="shared" si="15"/>
        <v>市政基础设施</v>
      </c>
      <c r="AA37" s="443">
        <f t="shared" si="3"/>
        <v>1</v>
      </c>
      <c r="AB37" s="443">
        <f t="shared" si="4"/>
        <v>1</v>
      </c>
      <c r="AC37" s="443">
        <f t="shared" si="5"/>
        <v>1</v>
      </c>
    </row>
    <row r="38" spans="1:29" ht="15.5">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51" t="s">
        <v>1924</v>
      </c>
      <c r="Q38" s="1705" t="str">
        <f t="shared" si="11"/>
        <v>业态</v>
      </c>
      <c r="R38" s="1706" t="s">
        <v>14</v>
      </c>
      <c r="S38" s="1707">
        <f t="shared" si="12"/>
        <v>100</v>
      </c>
      <c r="T38" s="1706" t="s">
        <v>14</v>
      </c>
      <c r="U38" s="1707">
        <f t="shared" si="13"/>
        <v>100</v>
      </c>
      <c r="V38" s="1706" t="s">
        <v>14</v>
      </c>
      <c r="W38" s="1707">
        <f t="shared" si="14"/>
        <v>100</v>
      </c>
      <c r="X38" s="1646"/>
      <c r="Y38" s="3053" t="s">
        <v>1924</v>
      </c>
      <c r="Z38" s="1708" t="str">
        <f t="shared" si="15"/>
        <v>业态</v>
      </c>
      <c r="AA38" s="1708">
        <f t="shared" si="3"/>
        <v>1</v>
      </c>
      <c r="AB38" s="1708">
        <f t="shared" si="4"/>
        <v>1</v>
      </c>
      <c r="AC38" s="1708">
        <f t="shared" si="5"/>
        <v>1</v>
      </c>
    </row>
    <row r="39" spans="1:29" ht="15.5">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51"/>
      <c r="Q39" s="1705" t="str">
        <f t="shared" si="11"/>
        <v>层高</v>
      </c>
      <c r="R39" s="1706" t="s">
        <v>14</v>
      </c>
      <c r="S39" s="1707">
        <f t="shared" si="12"/>
        <v>100</v>
      </c>
      <c r="T39" s="1706" t="s">
        <v>14</v>
      </c>
      <c r="U39" s="1707">
        <f t="shared" si="13"/>
        <v>100</v>
      </c>
      <c r="V39" s="1706" t="s">
        <v>14</v>
      </c>
      <c r="W39" s="1707">
        <f t="shared" si="14"/>
        <v>100</v>
      </c>
      <c r="X39" s="1646"/>
      <c r="Y39" s="3053"/>
      <c r="Z39" s="1708" t="str">
        <f t="shared" si="15"/>
        <v>层高</v>
      </c>
      <c r="AA39" s="1708">
        <f t="shared" si="3"/>
        <v>1</v>
      </c>
      <c r="AB39" s="1708">
        <f t="shared" si="4"/>
        <v>1</v>
      </c>
      <c r="AC39" s="1708">
        <f t="shared" si="5"/>
        <v>1</v>
      </c>
    </row>
    <row r="40" spans="1:29" ht="15.5">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51"/>
      <c r="Q40" s="1705" t="str">
        <f t="shared" si="11"/>
        <v>单套建筑面积</v>
      </c>
      <c r="R40" s="1706" t="s">
        <v>14</v>
      </c>
      <c r="S40" s="1707">
        <f t="shared" si="12"/>
        <v>100</v>
      </c>
      <c r="T40" s="1706" t="s">
        <v>14</v>
      </c>
      <c r="U40" s="1707">
        <f t="shared" si="13"/>
        <v>100</v>
      </c>
      <c r="V40" s="1706" t="s">
        <v>14</v>
      </c>
      <c r="W40" s="1707">
        <f t="shared" si="14"/>
        <v>100</v>
      </c>
      <c r="X40" s="1646"/>
      <c r="Y40" s="3053"/>
      <c r="Z40" s="1708" t="str">
        <f t="shared" si="15"/>
        <v>单套建筑面积</v>
      </c>
      <c r="AA40" s="1708">
        <f t="shared" si="3"/>
        <v>1</v>
      </c>
      <c r="AB40" s="1708">
        <f t="shared" si="4"/>
        <v>1</v>
      </c>
      <c r="AC40" s="1708">
        <f t="shared" si="5"/>
        <v>1</v>
      </c>
    </row>
    <row r="41" spans="1:29" s="1746" customFormat="1" ht="15.5">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51"/>
      <c r="Q41" s="1741" t="str">
        <f t="shared" si="11"/>
        <v>进深比</v>
      </c>
      <c r="R41" s="1742" t="s">
        <v>14</v>
      </c>
      <c r="S41" s="1743">
        <f t="shared" si="12"/>
        <v>100</v>
      </c>
      <c r="T41" s="1742" t="s">
        <v>14</v>
      </c>
      <c r="U41" s="1743">
        <f t="shared" si="13"/>
        <v>100</v>
      </c>
      <c r="V41" s="1742" t="s">
        <v>14</v>
      </c>
      <c r="W41" s="1743">
        <f t="shared" si="14"/>
        <v>100</v>
      </c>
      <c r="X41" s="1744"/>
      <c r="Y41" s="3053"/>
      <c r="Z41" s="1745" t="str">
        <f t="shared" si="15"/>
        <v>进深比</v>
      </c>
      <c r="AA41" s="1708">
        <f t="shared" si="3"/>
        <v>1</v>
      </c>
      <c r="AB41" s="1708">
        <f t="shared" si="4"/>
        <v>1</v>
      </c>
      <c r="AC41" s="1708">
        <f t="shared" si="5"/>
        <v>1</v>
      </c>
    </row>
    <row r="42" spans="1:29" ht="15.5">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51"/>
      <c r="Q42" s="1705" t="str">
        <f t="shared" si="11"/>
        <v>内部装修</v>
      </c>
      <c r="R42" s="1706" t="s">
        <v>14</v>
      </c>
      <c r="S42" s="1707">
        <f t="shared" si="12"/>
        <v>100</v>
      </c>
      <c r="T42" s="1706" t="s">
        <v>14</v>
      </c>
      <c r="U42" s="1707">
        <f t="shared" si="13"/>
        <v>100</v>
      </c>
      <c r="V42" s="1706" t="s">
        <v>14</v>
      </c>
      <c r="W42" s="1707">
        <f t="shared" si="14"/>
        <v>100</v>
      </c>
      <c r="X42" s="1646"/>
      <c r="Y42" s="3053"/>
      <c r="Z42" s="1708" t="str">
        <f t="shared" si="15"/>
        <v>内部装修</v>
      </c>
      <c r="AA42" s="1708">
        <f t="shared" si="3"/>
        <v>1</v>
      </c>
      <c r="AB42" s="1708">
        <f t="shared" si="4"/>
        <v>1</v>
      </c>
      <c r="AC42" s="1708">
        <f t="shared" si="5"/>
        <v>1</v>
      </c>
    </row>
    <row r="43" spans="1:29" ht="28">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51"/>
      <c r="Q43" s="1705" t="str">
        <f t="shared" si="11"/>
        <v>内部装修维护情况</v>
      </c>
      <c r="R43" s="1706" t="s">
        <v>14</v>
      </c>
      <c r="S43" s="1707">
        <f t="shared" si="12"/>
        <v>100</v>
      </c>
      <c r="T43" s="1706" t="s">
        <v>14</v>
      </c>
      <c r="U43" s="1707">
        <f t="shared" si="13"/>
        <v>100</v>
      </c>
      <c r="V43" s="1706" t="s">
        <v>14</v>
      </c>
      <c r="W43" s="1707">
        <f t="shared" si="14"/>
        <v>100</v>
      </c>
      <c r="X43" s="1646"/>
      <c r="Y43" s="3053"/>
      <c r="Z43" s="1708" t="str">
        <f t="shared" si="15"/>
        <v>内部装修维护情况</v>
      </c>
      <c r="AA43" s="1708">
        <f t="shared" si="3"/>
        <v>1</v>
      </c>
      <c r="AB43" s="1708">
        <f t="shared" si="4"/>
        <v>1</v>
      </c>
      <c r="AC43" s="1708">
        <f t="shared" si="5"/>
        <v>1</v>
      </c>
    </row>
    <row r="44" spans="1:29" s="1662" customFormat="1" ht="15.5">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51"/>
      <c r="Q44" s="1671">
        <f t="shared" si="11"/>
        <v>111</v>
      </c>
      <c r="R44" s="437" t="s">
        <v>14</v>
      </c>
      <c r="S44" s="1660">
        <f t="shared" si="12"/>
        <v>100</v>
      </c>
      <c r="T44" s="437" t="s">
        <v>14</v>
      </c>
      <c r="U44" s="1660">
        <f t="shared" si="13"/>
        <v>100</v>
      </c>
      <c r="V44" s="437" t="s">
        <v>14</v>
      </c>
      <c r="W44" s="1660">
        <f t="shared" si="14"/>
        <v>100</v>
      </c>
      <c r="X44" s="1661"/>
      <c r="Y44" s="3053"/>
      <c r="Z44" s="443">
        <f t="shared" si="15"/>
        <v>111</v>
      </c>
      <c r="AA44" s="443">
        <f t="shared" si="3"/>
        <v>1</v>
      </c>
      <c r="AB44" s="443">
        <f t="shared" si="4"/>
        <v>1</v>
      </c>
      <c r="AC44" s="443">
        <f t="shared" si="5"/>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51"/>
      <c r="Q45" s="1705">
        <f t="shared" si="11"/>
        <v>111</v>
      </c>
      <c r="R45" s="1706" t="s">
        <v>14</v>
      </c>
      <c r="S45" s="1707">
        <f t="shared" si="12"/>
        <v>100</v>
      </c>
      <c r="T45" s="1706" t="s">
        <v>14</v>
      </c>
      <c r="U45" s="1707">
        <f t="shared" si="13"/>
        <v>100</v>
      </c>
      <c r="V45" s="1706" t="s">
        <v>14</v>
      </c>
      <c r="W45" s="1707">
        <f t="shared" si="14"/>
        <v>100</v>
      </c>
      <c r="X45" s="1646"/>
      <c r="Y45" s="3053"/>
      <c r="Z45" s="1708">
        <f t="shared" si="15"/>
        <v>111</v>
      </c>
      <c r="AA45" s="1708">
        <f t="shared" si="3"/>
        <v>1</v>
      </c>
      <c r="AB45" s="1708">
        <f t="shared" si="4"/>
        <v>1</v>
      </c>
      <c r="AC45" s="1708">
        <f t="shared" si="5"/>
        <v>1</v>
      </c>
    </row>
    <row r="46" spans="1:29" ht="16"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52"/>
      <c r="Q46" s="1705">
        <f t="shared" si="11"/>
        <v>111</v>
      </c>
      <c r="R46" s="1706" t="s">
        <v>14</v>
      </c>
      <c r="S46" s="1707">
        <f t="shared" si="12"/>
        <v>100</v>
      </c>
      <c r="T46" s="1706" t="s">
        <v>14</v>
      </c>
      <c r="U46" s="1707">
        <f t="shared" si="13"/>
        <v>100</v>
      </c>
      <c r="V46" s="1706" t="s">
        <v>14</v>
      </c>
      <c r="W46" s="1707">
        <f t="shared" si="14"/>
        <v>100</v>
      </c>
      <c r="X46" s="1646"/>
      <c r="Y46" s="3054"/>
      <c r="Z46" s="1708">
        <f t="shared" si="15"/>
        <v>111</v>
      </c>
      <c r="AA46" s="1708">
        <f t="shared" si="3"/>
        <v>1</v>
      </c>
      <c r="AB46" s="1708">
        <f t="shared" si="4"/>
        <v>1</v>
      </c>
      <c r="AC46" s="1708">
        <f t="shared" si="5"/>
        <v>1</v>
      </c>
    </row>
    <row r="47" spans="1:29">
      <c r="A47" s="1751" t="s">
        <v>1936</v>
      </c>
      <c r="B47" s="1752"/>
      <c r="C47" s="1753" t="s">
        <v>0</v>
      </c>
      <c r="D47" s="1754"/>
      <c r="E47" s="1755"/>
      <c r="F47" s="1756"/>
      <c r="G47" s="1757"/>
      <c r="H47" s="1758"/>
      <c r="I47" s="1755"/>
      <c r="J47" s="1758"/>
      <c r="K47" s="1707"/>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2029</v>
      </c>
      <c r="B49" s="1770"/>
      <c r="C49" s="1652" t="e">
        <f>R49</f>
        <v>#DIV/0!</v>
      </c>
      <c r="D49" s="1652"/>
      <c r="E49" s="1652"/>
      <c r="F49" s="1652"/>
      <c r="G49" s="1652"/>
      <c r="H49" s="1652"/>
      <c r="I49" s="1652"/>
      <c r="J49" s="1652"/>
      <c r="K49" s="1705"/>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1.5"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c r="A58" s="1787" t="s">
        <v>1907</v>
      </c>
      <c r="B58" s="1788"/>
      <c r="C58" s="1957" t="str">
        <f>YEAR(C7)&amp;"-"&amp;MONTH(C7)</f>
        <v>2022-10</v>
      </c>
      <c r="D58" s="1790">
        <f>EDATE(C58,-1)</f>
        <v>44805</v>
      </c>
      <c r="E58" s="1790">
        <f t="shared" ref="E58:N58" si="16">EDATE(D58,-1)</f>
        <v>44774</v>
      </c>
      <c r="F58" s="1790">
        <f t="shared" si="16"/>
        <v>44743</v>
      </c>
      <c r="G58" s="1790">
        <f t="shared" si="16"/>
        <v>44713</v>
      </c>
      <c r="H58" s="1790">
        <f t="shared" si="16"/>
        <v>44682</v>
      </c>
      <c r="I58" s="1790">
        <f t="shared" si="16"/>
        <v>44652</v>
      </c>
      <c r="J58" s="1790">
        <f t="shared" si="16"/>
        <v>44621</v>
      </c>
      <c r="K58" s="1790">
        <f t="shared" si="16"/>
        <v>44593</v>
      </c>
      <c r="L58" s="1790">
        <f t="shared" si="16"/>
        <v>44562</v>
      </c>
      <c r="M58" s="1790">
        <f t="shared" si="16"/>
        <v>44531</v>
      </c>
      <c r="N58" s="1790">
        <f t="shared" si="16"/>
        <v>44501</v>
      </c>
      <c r="O58" s="1790">
        <f>EDATE(N58,-1)</f>
        <v>44470</v>
      </c>
      <c r="P58" s="1958"/>
      <c r="Q58" s="446"/>
      <c r="R58" s="446"/>
      <c r="S58" s="446"/>
      <c r="T58" s="446"/>
      <c r="U58" s="446"/>
      <c r="V58" s="446"/>
      <c r="W58" s="446"/>
      <c r="X58" s="446"/>
      <c r="Y58" s="446"/>
      <c r="Z58" s="446"/>
      <c r="AA58" s="446"/>
      <c r="AB58" s="446"/>
      <c r="AC58" s="446"/>
    </row>
    <row r="59" spans="1:29" s="1662" customFormat="1">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4.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4.5"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4.5"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4.5"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4.5"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4.5"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4.5"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4.5"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4.5"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4.5"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4.5"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4.5"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4.5"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4.5"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4.5"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4.5"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4.5"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4.5"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4.5"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4.5"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4.5"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4.5"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4.5"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4.5"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4.5"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4.5"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4.5"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4.5"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4.5"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4.5"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4.5"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4.5"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4.5"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4.5"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4.5"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4.5"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4.5"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4.5"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4.5"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4.5"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4.5"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4.5"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4.5"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4.5"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4.5"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4.5"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4.5"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4.5"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4.5"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4.5"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4.5"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4.5"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4.5"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4.5"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4.5"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4.5"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4.5"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4.5"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4.5"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4.5"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4.5"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5.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200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94" t="s">
        <v>2010</v>
      </c>
      <c r="Q4" s="3095"/>
      <c r="R4" s="3098" t="s">
        <v>2006</v>
      </c>
      <c r="S4" s="3099"/>
      <c r="T4" s="3098" t="s">
        <v>2007</v>
      </c>
      <c r="U4" s="3099"/>
      <c r="V4" s="3100" t="s">
        <v>2008</v>
      </c>
      <c r="W4" s="3100"/>
      <c r="X4" s="1974"/>
      <c r="Y4" s="3098" t="s">
        <v>2010</v>
      </c>
      <c r="Z4" s="3099"/>
      <c r="AA4" s="3102" t="s">
        <v>2006</v>
      </c>
      <c r="AB4" s="3102" t="s">
        <v>2007</v>
      </c>
      <c r="AC4" s="3091" t="s">
        <v>2008</v>
      </c>
    </row>
    <row r="5" spans="1:29">
      <c r="A5" s="1648"/>
      <c r="B5" s="1649"/>
      <c r="C5" s="3079" t="s">
        <v>1901</v>
      </c>
      <c r="D5" s="3080"/>
      <c r="E5" s="3086" t="s">
        <v>1902</v>
      </c>
      <c r="F5" s="3087"/>
      <c r="G5" s="3079" t="s">
        <v>1903</v>
      </c>
      <c r="H5" s="3080"/>
      <c r="I5" s="3079" t="s">
        <v>1904</v>
      </c>
      <c r="J5" s="3080"/>
      <c r="K5" s="1940"/>
      <c r="L5" s="1644"/>
      <c r="M5" s="1645"/>
      <c r="N5" s="1645"/>
      <c r="O5" s="1645"/>
      <c r="P5" s="3096"/>
      <c r="Q5" s="3068"/>
      <c r="R5" s="3073"/>
      <c r="S5" s="3074"/>
      <c r="T5" s="3073"/>
      <c r="U5" s="3074"/>
      <c r="V5" s="3047"/>
      <c r="W5" s="3047"/>
      <c r="X5" s="1646"/>
      <c r="Y5" s="3073"/>
      <c r="Z5" s="3074"/>
      <c r="AA5" s="3059"/>
      <c r="AB5" s="3059"/>
      <c r="AC5" s="3092"/>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97"/>
      <c r="Q6" s="3070"/>
      <c r="R6" s="3073"/>
      <c r="S6" s="3074"/>
      <c r="T6" s="3075"/>
      <c r="U6" s="3076"/>
      <c r="V6" s="3047"/>
      <c r="W6" s="3047"/>
      <c r="X6" s="1646"/>
      <c r="Y6" s="3075"/>
      <c r="Z6" s="3076"/>
      <c r="AA6" s="3060"/>
      <c r="AB6" s="3060"/>
      <c r="AC6" s="3093"/>
    </row>
    <row r="7" spans="1:29" s="1662" customFormat="1" ht="14.5" thickBot="1">
      <c r="A7" s="1653" t="s">
        <v>1907</v>
      </c>
      <c r="B7" s="1654"/>
      <c r="C7" s="1655">
        <f>'数据-取费表'!B2</f>
        <v>44853</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10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677" t="e">
        <f>D7/J7</f>
        <v>#DIV/0!</v>
      </c>
    </row>
    <row r="8" spans="1:29" s="1662" customFormat="1" ht="14.5"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101" t="s">
        <v>1911</v>
      </c>
      <c r="Q8" s="3082"/>
      <c r="R8" s="437" t="s">
        <v>14</v>
      </c>
      <c r="S8" s="1660">
        <f t="shared" si="0"/>
        <v>0</v>
      </c>
      <c r="T8" s="437" t="s">
        <v>14</v>
      </c>
      <c r="U8" s="1660">
        <f t="shared" si="1"/>
        <v>0</v>
      </c>
      <c r="V8" s="437" t="s">
        <v>14</v>
      </c>
      <c r="W8" s="1660">
        <f t="shared" si="2"/>
        <v>0</v>
      </c>
      <c r="X8" s="1661"/>
      <c r="Y8" s="3081" t="s">
        <v>1911</v>
      </c>
      <c r="Z8" s="3082"/>
      <c r="AA8" s="443" t="e">
        <f t="shared" ref="AA8:AA47" si="3">D8/F8</f>
        <v>#DIV/0!</v>
      </c>
      <c r="AB8" s="443" t="e">
        <f t="shared" ref="AB8:AB47" si="4">D8/H8</f>
        <v>#DIV/0!</v>
      </c>
      <c r="AC8" s="677" t="e">
        <f t="shared" ref="AC8:AC47" si="5">D8/J8</f>
        <v>#DIV/0!</v>
      </c>
    </row>
    <row r="9" spans="1:29" s="1662" customFormat="1">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677">
        <f t="shared" si="5"/>
        <v>1</v>
      </c>
    </row>
    <row r="10" spans="1:29" s="1680" customFormat="1" ht="28">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677">
        <f t="shared" si="5"/>
        <v>1</v>
      </c>
    </row>
    <row r="11" spans="1:29" ht="15.5">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677" t="e">
        <f t="shared" si="5"/>
        <v>#N/A</v>
      </c>
    </row>
    <row r="12" spans="1:29" s="1662" customFormat="1" ht="15.5">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677">
        <f>D12/J12</f>
        <v>1</v>
      </c>
    </row>
    <row r="13" spans="1:29" ht="15.5">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677">
        <f t="shared" si="5"/>
        <v>1</v>
      </c>
    </row>
    <row r="14" spans="1:29" ht="16"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677">
        <f t="shared" si="5"/>
        <v>1</v>
      </c>
    </row>
    <row r="15" spans="1:29" ht="70">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55" t="s">
        <v>1919</v>
      </c>
      <c r="Q15" s="1705" t="str">
        <f t="shared" si="6"/>
        <v>办公集聚程度</v>
      </c>
      <c r="R15" s="1706" t="s">
        <v>14</v>
      </c>
      <c r="S15" s="1707">
        <f t="shared" si="0"/>
        <v>100</v>
      </c>
      <c r="T15" s="1706" t="s">
        <v>14</v>
      </c>
      <c r="U15" s="1707">
        <f t="shared" si="1"/>
        <v>100</v>
      </c>
      <c r="V15" s="1706" t="s">
        <v>14</v>
      </c>
      <c r="W15" s="1707">
        <f t="shared" si="2"/>
        <v>100</v>
      </c>
      <c r="X15" s="1646"/>
      <c r="Y15" s="3048" t="s">
        <v>1919</v>
      </c>
      <c r="Z15" s="1708" t="str">
        <f t="shared" si="7"/>
        <v>办公集聚程度</v>
      </c>
      <c r="AA15" s="1708">
        <f t="shared" si="3"/>
        <v>1</v>
      </c>
      <c r="AB15" s="1708">
        <f t="shared" si="4"/>
        <v>1</v>
      </c>
      <c r="AC15" s="1978">
        <f t="shared" si="5"/>
        <v>1</v>
      </c>
    </row>
    <row r="16" spans="1:29" ht="15.5">
      <c r="A16" s="1681"/>
      <c r="B16" s="1979"/>
      <c r="C16" s="1712"/>
      <c r="D16" s="1711"/>
      <c r="E16" s="1710"/>
      <c r="F16" s="1711"/>
      <c r="G16" s="1712"/>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978">
        <v>1</v>
      </c>
    </row>
    <row r="17" spans="1:29" ht="84">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978">
        <f t="shared" si="5"/>
        <v>1</v>
      </c>
    </row>
    <row r="18" spans="1:29" ht="15.5">
      <c r="A18" s="1681"/>
      <c r="B18" s="1730"/>
      <c r="C18" s="1722"/>
      <c r="D18" s="1713"/>
      <c r="E18" s="1721"/>
      <c r="F18" s="1713"/>
      <c r="G18" s="1722"/>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978">
        <v>1</v>
      </c>
    </row>
    <row r="19" spans="1:29" ht="42">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978">
        <f t="shared" si="5"/>
        <v>1</v>
      </c>
    </row>
    <row r="20" spans="1:29" ht="15.5">
      <c r="A20" s="1681"/>
      <c r="B20" s="1730"/>
      <c r="C20" s="1712"/>
      <c r="D20" s="1711"/>
      <c r="E20" s="1710"/>
      <c r="F20" s="1711"/>
      <c r="G20" s="1712"/>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978">
        <v>1</v>
      </c>
    </row>
    <row r="21" spans="1:29" ht="28">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978">
        <f t="shared" ref="AC21" si="10">D21/J21</f>
        <v>1</v>
      </c>
    </row>
    <row r="22" spans="1:29" ht="15.5">
      <c r="A22" s="1681"/>
      <c r="B22" s="1982"/>
      <c r="C22" s="1722"/>
      <c r="D22" s="1711"/>
      <c r="E22" s="1710"/>
      <c r="F22" s="1711"/>
      <c r="G22" s="1712"/>
      <c r="H22" s="1711"/>
      <c r="I22" s="1712"/>
      <c r="J22" s="1711"/>
      <c r="K22" s="1949"/>
      <c r="L22" s="1692"/>
      <c r="M22" s="1645"/>
      <c r="N22" s="1645"/>
      <c r="O22" s="1645"/>
      <c r="P22" s="3056"/>
      <c r="Q22" s="1705"/>
      <c r="R22" s="1706"/>
      <c r="S22" s="1707"/>
      <c r="T22" s="1706"/>
      <c r="U22" s="1707"/>
      <c r="V22" s="1706"/>
      <c r="W22" s="1707"/>
      <c r="X22" s="1646"/>
      <c r="Y22" s="3049"/>
      <c r="Z22" s="1708"/>
      <c r="AA22" s="1708">
        <v>1</v>
      </c>
      <c r="AB22" s="1708">
        <v>1</v>
      </c>
      <c r="AC22" s="1978">
        <v>1</v>
      </c>
    </row>
    <row r="23" spans="1:29" ht="56">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56"/>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978">
        <f t="shared" si="5"/>
        <v>1</v>
      </c>
    </row>
    <row r="24" spans="1:29" ht="15.5">
      <c r="A24" s="1681"/>
      <c r="B24" s="1982"/>
      <c r="C24" s="1712"/>
      <c r="D24" s="1711"/>
      <c r="E24" s="1710"/>
      <c r="F24" s="1711"/>
      <c r="G24" s="1712"/>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978">
        <v>1</v>
      </c>
    </row>
    <row r="25" spans="1:29" ht="28">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56"/>
      <c r="Q25" s="1705" t="str">
        <f>B25</f>
        <v>毗邻道路的类型与等级</v>
      </c>
      <c r="R25" s="1706" t="s">
        <v>14</v>
      </c>
      <c r="S25" s="1707">
        <f>F25</f>
        <v>100</v>
      </c>
      <c r="T25" s="1706" t="s">
        <v>14</v>
      </c>
      <c r="U25" s="1707">
        <f>H25</f>
        <v>100</v>
      </c>
      <c r="V25" s="1706" t="s">
        <v>14</v>
      </c>
      <c r="W25" s="1707">
        <f>J25</f>
        <v>100</v>
      </c>
      <c r="X25" s="1646"/>
      <c r="Y25" s="3049"/>
      <c r="Z25" s="1708" t="str">
        <f>Q25</f>
        <v>毗邻道路的类型与等级</v>
      </c>
      <c r="AA25" s="1708">
        <f t="shared" si="3"/>
        <v>1</v>
      </c>
      <c r="AB25" s="1708">
        <f t="shared" si="4"/>
        <v>1</v>
      </c>
      <c r="AC25" s="1978">
        <f t="shared" si="5"/>
        <v>1</v>
      </c>
    </row>
    <row r="26" spans="1:29" ht="15.5">
      <c r="A26" s="1648"/>
      <c r="B26" s="1730"/>
      <c r="C26" s="1983"/>
      <c r="D26" s="1691"/>
      <c r="E26" s="1950"/>
      <c r="F26" s="1691"/>
      <c r="G26" s="1983"/>
      <c r="H26" s="1691"/>
      <c r="I26" s="1950"/>
      <c r="J26" s="1691"/>
      <c r="K26" s="1946"/>
      <c r="L26" s="1692"/>
      <c r="M26" s="1645"/>
      <c r="N26" s="1645"/>
      <c r="O26" s="1645"/>
      <c r="P26" s="3056"/>
      <c r="Q26" s="1705"/>
      <c r="R26" s="1706"/>
      <c r="S26" s="1707"/>
      <c r="T26" s="1706"/>
      <c r="U26" s="1707"/>
      <c r="V26" s="1706"/>
      <c r="W26" s="1707"/>
      <c r="X26" s="1646"/>
      <c r="Y26" s="3049"/>
      <c r="Z26" s="1708"/>
      <c r="AA26" s="1708">
        <v>1</v>
      </c>
      <c r="AB26" s="1708">
        <v>1</v>
      </c>
      <c r="AC26" s="1978">
        <v>1</v>
      </c>
    </row>
    <row r="27" spans="1:29" ht="15.5">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56"/>
      <c r="Q27" s="1705" t="str">
        <f t="shared" ref="Q27:Q47" si="11">B27</f>
        <v>楼层</v>
      </c>
      <c r="R27" s="1706" t="s">
        <v>14</v>
      </c>
      <c r="S27" s="1707">
        <f>F27</f>
        <v>100</v>
      </c>
      <c r="T27" s="1706" t="s">
        <v>14</v>
      </c>
      <c r="U27" s="1707">
        <f>H27</f>
        <v>100</v>
      </c>
      <c r="V27" s="1706" t="s">
        <v>14</v>
      </c>
      <c r="W27" s="1707">
        <f>J27</f>
        <v>100</v>
      </c>
      <c r="X27" s="1646"/>
      <c r="Y27" s="3049"/>
      <c r="Z27" s="1708" t="str">
        <f>Q27</f>
        <v>楼层</v>
      </c>
      <c r="AA27" s="1708">
        <f t="shared" si="3"/>
        <v>1</v>
      </c>
      <c r="AB27" s="1708">
        <f t="shared" si="4"/>
        <v>1</v>
      </c>
      <c r="AC27" s="1978">
        <f t="shared" si="5"/>
        <v>1</v>
      </c>
    </row>
    <row r="28" spans="1:29" s="1662" customFormat="1" ht="15.5">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56"/>
      <c r="Q28" s="1671" t="str">
        <f t="shared" si="11"/>
        <v>朝向</v>
      </c>
      <c r="R28" s="437" t="s">
        <v>14</v>
      </c>
      <c r="S28" s="1660">
        <f>F28</f>
        <v>100</v>
      </c>
      <c r="T28" s="437" t="s">
        <v>14</v>
      </c>
      <c r="U28" s="1660">
        <f>H28</f>
        <v>100</v>
      </c>
      <c r="V28" s="437" t="s">
        <v>14</v>
      </c>
      <c r="W28" s="1660">
        <f>J28</f>
        <v>100</v>
      </c>
      <c r="X28" s="1661"/>
      <c r="Y28" s="3049"/>
      <c r="Z28" s="443" t="str">
        <f>Q28</f>
        <v>朝向</v>
      </c>
      <c r="AA28" s="1708">
        <f>D28/F28</f>
        <v>1</v>
      </c>
      <c r="AB28" s="1708">
        <f>D28/H28</f>
        <v>1</v>
      </c>
      <c r="AC28" s="1978">
        <f>D28/J28</f>
        <v>1</v>
      </c>
    </row>
    <row r="29" spans="1:29" ht="15.5">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56"/>
      <c r="Q29" s="1705">
        <f t="shared" si="11"/>
        <v>111</v>
      </c>
      <c r="R29" s="1706" t="s">
        <v>14</v>
      </c>
      <c r="S29" s="1707">
        <f t="shared" ref="S29:S47" si="12">F29</f>
        <v>100</v>
      </c>
      <c r="T29" s="1706" t="s">
        <v>14</v>
      </c>
      <c r="U29" s="1707">
        <f t="shared" ref="U29:U47" si="13">H29</f>
        <v>100</v>
      </c>
      <c r="V29" s="1706" t="s">
        <v>14</v>
      </c>
      <c r="W29" s="1707">
        <f t="shared" ref="W29:W47" si="14">J29</f>
        <v>100</v>
      </c>
      <c r="X29" s="1646"/>
      <c r="Y29" s="3049"/>
      <c r="Z29" s="1708">
        <f t="shared" ref="Z29:Z47" si="15">Q29</f>
        <v>111</v>
      </c>
      <c r="AA29" s="1708">
        <f t="shared" si="3"/>
        <v>1</v>
      </c>
      <c r="AB29" s="1708">
        <f t="shared" si="4"/>
        <v>1</v>
      </c>
      <c r="AC29" s="1978">
        <f t="shared" si="5"/>
        <v>1</v>
      </c>
    </row>
    <row r="30" spans="1:29" ht="15.5">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978">
        <f t="shared" si="5"/>
        <v>1</v>
      </c>
    </row>
    <row r="31" spans="1:29" ht="15.5">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978">
        <f t="shared" si="5"/>
        <v>1</v>
      </c>
    </row>
    <row r="32" spans="1:29" ht="16"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56"/>
      <c r="Q32" s="1705">
        <f t="shared" si="11"/>
        <v>111</v>
      </c>
      <c r="R32" s="1706" t="s">
        <v>14</v>
      </c>
      <c r="S32" s="1707">
        <f t="shared" si="12"/>
        <v>100</v>
      </c>
      <c r="T32" s="1706" t="s">
        <v>14</v>
      </c>
      <c r="U32" s="1707">
        <f t="shared" si="13"/>
        <v>100</v>
      </c>
      <c r="V32" s="1706" t="s">
        <v>14</v>
      </c>
      <c r="W32" s="1707">
        <f t="shared" si="14"/>
        <v>100</v>
      </c>
      <c r="X32" s="1646"/>
      <c r="Y32" s="3049"/>
      <c r="Z32" s="1708">
        <f t="shared" si="15"/>
        <v>111</v>
      </c>
      <c r="AA32" s="1708">
        <f t="shared" si="3"/>
        <v>1</v>
      </c>
      <c r="AB32" s="1708">
        <f t="shared" si="4"/>
        <v>1</v>
      </c>
      <c r="AC32" s="1978">
        <f t="shared" si="5"/>
        <v>1</v>
      </c>
    </row>
    <row r="33" spans="1:29" ht="15.5">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50" t="s">
        <v>1924</v>
      </c>
      <c r="Q33" s="1705" t="str">
        <f t="shared" si="11"/>
        <v>建筑类型</v>
      </c>
      <c r="R33" s="1706" t="s">
        <v>14</v>
      </c>
      <c r="S33" s="1707">
        <f t="shared" si="12"/>
        <v>100</v>
      </c>
      <c r="T33" s="1706" t="s">
        <v>14</v>
      </c>
      <c r="U33" s="1707">
        <f t="shared" si="13"/>
        <v>100</v>
      </c>
      <c r="V33" s="1706" t="s">
        <v>14</v>
      </c>
      <c r="W33" s="1707">
        <f t="shared" si="14"/>
        <v>100</v>
      </c>
      <c r="X33" s="1646"/>
      <c r="Y33" s="3053" t="s">
        <v>1924</v>
      </c>
      <c r="Z33" s="1708" t="str">
        <f t="shared" si="15"/>
        <v>建筑类型</v>
      </c>
      <c r="AA33" s="1708">
        <f t="shared" si="3"/>
        <v>1</v>
      </c>
      <c r="AB33" s="1708">
        <f t="shared" si="4"/>
        <v>1</v>
      </c>
      <c r="AC33" s="1978">
        <f t="shared" si="5"/>
        <v>1</v>
      </c>
    </row>
    <row r="34" spans="1:29" s="1746" customFormat="1" ht="15.5">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51"/>
      <c r="Q34" s="1741" t="str">
        <f t="shared" si="11"/>
        <v>项目建筑规模</v>
      </c>
      <c r="R34" s="1742" t="s">
        <v>14</v>
      </c>
      <c r="S34" s="1743" t="e">
        <f t="shared" si="12"/>
        <v>#N/A</v>
      </c>
      <c r="T34" s="1742" t="s">
        <v>14</v>
      </c>
      <c r="U34" s="1743" t="e">
        <f t="shared" si="13"/>
        <v>#N/A</v>
      </c>
      <c r="V34" s="1742" t="s">
        <v>14</v>
      </c>
      <c r="W34" s="1743" t="e">
        <f t="shared" si="14"/>
        <v>#N/A</v>
      </c>
      <c r="X34" s="1744"/>
      <c r="Y34" s="3053"/>
      <c r="Z34" s="1745" t="str">
        <f t="shared" si="15"/>
        <v>项目建筑规模</v>
      </c>
      <c r="AA34" s="1708" t="e">
        <f t="shared" si="3"/>
        <v>#N/A</v>
      </c>
      <c r="AB34" s="1708" t="e">
        <f t="shared" si="4"/>
        <v>#N/A</v>
      </c>
      <c r="AC34" s="1978" t="e">
        <f t="shared" si="5"/>
        <v>#N/A</v>
      </c>
    </row>
    <row r="35" spans="1:29" ht="15.5">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51"/>
      <c r="Q35" s="1705" t="str">
        <f t="shared" si="11"/>
        <v>建筑结构</v>
      </c>
      <c r="R35" s="1706" t="s">
        <v>14</v>
      </c>
      <c r="S35" s="1707">
        <f t="shared" si="12"/>
        <v>100</v>
      </c>
      <c r="T35" s="1706" t="s">
        <v>14</v>
      </c>
      <c r="U35" s="1707">
        <f t="shared" si="13"/>
        <v>100</v>
      </c>
      <c r="V35" s="1706" t="s">
        <v>14</v>
      </c>
      <c r="W35" s="1707">
        <f t="shared" si="14"/>
        <v>100</v>
      </c>
      <c r="X35" s="1646"/>
      <c r="Y35" s="3053"/>
      <c r="Z35" s="1708" t="str">
        <f t="shared" si="15"/>
        <v>建筑结构</v>
      </c>
      <c r="AA35" s="1708">
        <f t="shared" si="3"/>
        <v>1</v>
      </c>
      <c r="AB35" s="1708">
        <f t="shared" si="4"/>
        <v>1</v>
      </c>
      <c r="AC35" s="1978">
        <f t="shared" si="5"/>
        <v>1</v>
      </c>
    </row>
    <row r="36" spans="1:29" ht="15.5">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51"/>
      <c r="Q36" s="1705" t="str">
        <f t="shared" si="11"/>
        <v>公共部分装修</v>
      </c>
      <c r="R36" s="1706" t="s">
        <v>14</v>
      </c>
      <c r="S36" s="1707">
        <f t="shared" si="12"/>
        <v>100</v>
      </c>
      <c r="T36" s="1706" t="s">
        <v>14</v>
      </c>
      <c r="U36" s="1707">
        <f t="shared" si="13"/>
        <v>100</v>
      </c>
      <c r="V36" s="1706" t="s">
        <v>14</v>
      </c>
      <c r="W36" s="1707">
        <f t="shared" si="14"/>
        <v>100</v>
      </c>
      <c r="X36" s="1646"/>
      <c r="Y36" s="3053"/>
      <c r="Z36" s="1708" t="str">
        <f t="shared" si="15"/>
        <v>公共部分装修</v>
      </c>
      <c r="AA36" s="1708">
        <f t="shared" si="3"/>
        <v>1</v>
      </c>
      <c r="AB36" s="1708">
        <f t="shared" si="4"/>
        <v>1</v>
      </c>
      <c r="AC36" s="1978">
        <f t="shared" si="5"/>
        <v>1</v>
      </c>
    </row>
    <row r="37" spans="1:29" ht="15.5">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51"/>
      <c r="Q37" s="1705" t="str">
        <f t="shared" si="11"/>
        <v>成新度</v>
      </c>
      <c r="R37" s="1706" t="s">
        <v>14</v>
      </c>
      <c r="S37" s="1707" t="e">
        <f t="shared" si="12"/>
        <v>#N/A</v>
      </c>
      <c r="T37" s="1706" t="s">
        <v>14</v>
      </c>
      <c r="U37" s="1707" t="e">
        <f t="shared" si="13"/>
        <v>#N/A</v>
      </c>
      <c r="V37" s="1706" t="s">
        <v>14</v>
      </c>
      <c r="W37" s="1707" t="e">
        <f t="shared" si="14"/>
        <v>#N/A</v>
      </c>
      <c r="X37" s="1646"/>
      <c r="Y37" s="3053"/>
      <c r="Z37" s="1708" t="str">
        <f t="shared" si="15"/>
        <v>成新度</v>
      </c>
      <c r="AA37" s="1708" t="e">
        <f t="shared" si="3"/>
        <v>#N/A</v>
      </c>
      <c r="AB37" s="1708" t="e">
        <f t="shared" si="4"/>
        <v>#N/A</v>
      </c>
      <c r="AC37" s="1978" t="e">
        <f t="shared" si="5"/>
        <v>#N/A</v>
      </c>
    </row>
    <row r="38" spans="1:29" s="1662" customFormat="1" ht="15.5">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51"/>
      <c r="Q38" s="1671" t="str">
        <f t="shared" si="11"/>
        <v>写字楼等级</v>
      </c>
      <c r="R38" s="437" t="s">
        <v>14</v>
      </c>
      <c r="S38" s="1660">
        <f t="shared" si="12"/>
        <v>100</v>
      </c>
      <c r="T38" s="437" t="s">
        <v>14</v>
      </c>
      <c r="U38" s="1660">
        <f t="shared" si="13"/>
        <v>100</v>
      </c>
      <c r="V38" s="437" t="s">
        <v>14</v>
      </c>
      <c r="W38" s="1660">
        <f t="shared" si="14"/>
        <v>100</v>
      </c>
      <c r="X38" s="1661"/>
      <c r="Y38" s="3053"/>
      <c r="Z38" s="443" t="str">
        <f t="shared" si="15"/>
        <v>写字楼等级</v>
      </c>
      <c r="AA38" s="443">
        <f t="shared" si="3"/>
        <v>1</v>
      </c>
      <c r="AB38" s="443">
        <f t="shared" si="4"/>
        <v>1</v>
      </c>
      <c r="AC38" s="677">
        <f t="shared" si="5"/>
        <v>1</v>
      </c>
    </row>
    <row r="39" spans="1:29" ht="15.5">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51" t="s">
        <v>1924</v>
      </c>
      <c r="Q39" s="1705" t="str">
        <f t="shared" si="11"/>
        <v>物业管理</v>
      </c>
      <c r="R39" s="1706" t="s">
        <v>14</v>
      </c>
      <c r="S39" s="1707">
        <f t="shared" si="12"/>
        <v>100</v>
      </c>
      <c r="T39" s="1706" t="s">
        <v>14</v>
      </c>
      <c r="U39" s="1707">
        <f t="shared" si="13"/>
        <v>100</v>
      </c>
      <c r="V39" s="1706" t="s">
        <v>14</v>
      </c>
      <c r="W39" s="1707">
        <f t="shared" si="14"/>
        <v>100</v>
      </c>
      <c r="X39" s="1646"/>
      <c r="Y39" s="3053" t="s">
        <v>1924</v>
      </c>
      <c r="Z39" s="1708" t="str">
        <f t="shared" si="15"/>
        <v>物业管理</v>
      </c>
      <c r="AA39" s="1708">
        <f t="shared" si="3"/>
        <v>1</v>
      </c>
      <c r="AB39" s="1708">
        <f t="shared" si="4"/>
        <v>1</v>
      </c>
      <c r="AC39" s="1978">
        <f t="shared" si="5"/>
        <v>1</v>
      </c>
    </row>
    <row r="40" spans="1:29" ht="15.5">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51"/>
      <c r="Q40" s="1705" t="str">
        <f t="shared" si="11"/>
        <v>市政基础设施</v>
      </c>
      <c r="R40" s="1706" t="s">
        <v>14</v>
      </c>
      <c r="S40" s="1707">
        <f t="shared" si="12"/>
        <v>100</v>
      </c>
      <c r="T40" s="1706" t="s">
        <v>14</v>
      </c>
      <c r="U40" s="1707">
        <f t="shared" si="13"/>
        <v>100</v>
      </c>
      <c r="V40" s="1706" t="s">
        <v>14</v>
      </c>
      <c r="W40" s="1707">
        <f t="shared" si="14"/>
        <v>100</v>
      </c>
      <c r="X40" s="1646"/>
      <c r="Y40" s="3053"/>
      <c r="Z40" s="1708" t="str">
        <f t="shared" si="15"/>
        <v>市政基础设施</v>
      </c>
      <c r="AA40" s="1708">
        <f t="shared" si="3"/>
        <v>1</v>
      </c>
      <c r="AB40" s="1708">
        <f t="shared" si="4"/>
        <v>1</v>
      </c>
      <c r="AC40" s="1978">
        <f t="shared" si="5"/>
        <v>1</v>
      </c>
    </row>
    <row r="41" spans="1:29" ht="15.5">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51"/>
      <c r="Q41" s="1705" t="str">
        <f t="shared" si="11"/>
        <v>层高</v>
      </c>
      <c r="R41" s="1706" t="s">
        <v>14</v>
      </c>
      <c r="S41" s="1707">
        <f t="shared" si="12"/>
        <v>100</v>
      </c>
      <c r="T41" s="1706" t="s">
        <v>14</v>
      </c>
      <c r="U41" s="1707">
        <f t="shared" si="13"/>
        <v>100</v>
      </c>
      <c r="V41" s="1706" t="s">
        <v>14</v>
      </c>
      <c r="W41" s="1707">
        <f t="shared" si="14"/>
        <v>100</v>
      </c>
      <c r="X41" s="1646"/>
      <c r="Y41" s="3053"/>
      <c r="Z41" s="1708" t="str">
        <f t="shared" si="15"/>
        <v>层高</v>
      </c>
      <c r="AA41" s="1708">
        <f t="shared" si="3"/>
        <v>1</v>
      </c>
      <c r="AB41" s="1708">
        <f t="shared" si="4"/>
        <v>1</v>
      </c>
      <c r="AC41" s="1978">
        <f t="shared" si="5"/>
        <v>1</v>
      </c>
    </row>
    <row r="42" spans="1:29" s="1746" customFormat="1" ht="15.5">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51"/>
      <c r="Q42" s="1741" t="str">
        <f t="shared" si="11"/>
        <v>单套建筑面积</v>
      </c>
      <c r="R42" s="1742" t="s">
        <v>14</v>
      </c>
      <c r="S42" s="1743">
        <f t="shared" si="12"/>
        <v>100</v>
      </c>
      <c r="T42" s="1742" t="s">
        <v>14</v>
      </c>
      <c r="U42" s="1743">
        <f t="shared" si="13"/>
        <v>100</v>
      </c>
      <c r="V42" s="1742" t="s">
        <v>14</v>
      </c>
      <c r="W42" s="1743">
        <f t="shared" si="14"/>
        <v>100</v>
      </c>
      <c r="X42" s="1744"/>
      <c r="Y42" s="3053"/>
      <c r="Z42" s="1745" t="str">
        <f t="shared" si="15"/>
        <v>单套建筑面积</v>
      </c>
      <c r="AA42" s="1708">
        <f t="shared" si="3"/>
        <v>1</v>
      </c>
      <c r="AB42" s="1708">
        <f t="shared" si="4"/>
        <v>1</v>
      </c>
      <c r="AC42" s="1978">
        <f t="shared" si="5"/>
        <v>1</v>
      </c>
    </row>
    <row r="43" spans="1:29" ht="15.5">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51"/>
      <c r="Q43" s="1705" t="str">
        <f t="shared" si="11"/>
        <v>内部装修</v>
      </c>
      <c r="R43" s="1706" t="s">
        <v>14</v>
      </c>
      <c r="S43" s="1707">
        <f t="shared" si="12"/>
        <v>100</v>
      </c>
      <c r="T43" s="1706" t="s">
        <v>14</v>
      </c>
      <c r="U43" s="1707">
        <f t="shared" si="13"/>
        <v>100</v>
      </c>
      <c r="V43" s="1706" t="s">
        <v>14</v>
      </c>
      <c r="W43" s="1707">
        <f t="shared" si="14"/>
        <v>100</v>
      </c>
      <c r="X43" s="1646"/>
      <c r="Y43" s="3053"/>
      <c r="Z43" s="1708" t="str">
        <f t="shared" si="15"/>
        <v>内部装修</v>
      </c>
      <c r="AA43" s="1708">
        <f t="shared" si="3"/>
        <v>1</v>
      </c>
      <c r="AB43" s="1708">
        <f t="shared" si="4"/>
        <v>1</v>
      </c>
      <c r="AC43" s="1978">
        <f t="shared" si="5"/>
        <v>1</v>
      </c>
    </row>
    <row r="44" spans="1:29" ht="28">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51"/>
      <c r="Q44" s="1705" t="str">
        <f t="shared" si="11"/>
        <v>内部装修维护情况</v>
      </c>
      <c r="R44" s="1706" t="s">
        <v>14</v>
      </c>
      <c r="S44" s="1707">
        <f t="shared" si="12"/>
        <v>100</v>
      </c>
      <c r="T44" s="1706" t="s">
        <v>14</v>
      </c>
      <c r="U44" s="1707">
        <f t="shared" si="13"/>
        <v>100</v>
      </c>
      <c r="V44" s="1706" t="s">
        <v>14</v>
      </c>
      <c r="W44" s="1707">
        <f t="shared" si="14"/>
        <v>100</v>
      </c>
      <c r="X44" s="1646"/>
      <c r="Y44" s="3053"/>
      <c r="Z44" s="1708" t="str">
        <f t="shared" si="15"/>
        <v>内部装修维护情况</v>
      </c>
      <c r="AA44" s="1708">
        <f t="shared" si="3"/>
        <v>1</v>
      </c>
      <c r="AB44" s="1708">
        <f t="shared" si="4"/>
        <v>1</v>
      </c>
      <c r="AC44" s="1978">
        <f t="shared" si="5"/>
        <v>1</v>
      </c>
    </row>
    <row r="45" spans="1:29" s="1662" customFormat="1" ht="15.5">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51"/>
      <c r="Q45" s="1671">
        <f t="shared" si="11"/>
        <v>111</v>
      </c>
      <c r="R45" s="437" t="s">
        <v>14</v>
      </c>
      <c r="S45" s="1660">
        <f t="shared" si="12"/>
        <v>100</v>
      </c>
      <c r="T45" s="437" t="s">
        <v>14</v>
      </c>
      <c r="U45" s="1660">
        <f t="shared" si="13"/>
        <v>100</v>
      </c>
      <c r="V45" s="437" t="s">
        <v>14</v>
      </c>
      <c r="W45" s="1660">
        <f t="shared" si="14"/>
        <v>100</v>
      </c>
      <c r="X45" s="1661"/>
      <c r="Y45" s="3053"/>
      <c r="Z45" s="443">
        <f t="shared" si="15"/>
        <v>111</v>
      </c>
      <c r="AA45" s="443">
        <f t="shared" si="3"/>
        <v>1</v>
      </c>
      <c r="AB45" s="443">
        <f t="shared" si="4"/>
        <v>1</v>
      </c>
      <c r="AC45" s="677">
        <f t="shared" si="5"/>
        <v>1</v>
      </c>
    </row>
    <row r="46" spans="1:29" ht="15.5">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51"/>
      <c r="Q46" s="1705">
        <f t="shared" si="11"/>
        <v>111</v>
      </c>
      <c r="R46" s="1706" t="s">
        <v>14</v>
      </c>
      <c r="S46" s="1707">
        <f t="shared" si="12"/>
        <v>100</v>
      </c>
      <c r="T46" s="1706" t="s">
        <v>14</v>
      </c>
      <c r="U46" s="1707">
        <f t="shared" si="13"/>
        <v>100</v>
      </c>
      <c r="V46" s="1706" t="s">
        <v>14</v>
      </c>
      <c r="W46" s="1707">
        <f t="shared" si="14"/>
        <v>100</v>
      </c>
      <c r="X46" s="1646"/>
      <c r="Y46" s="3053"/>
      <c r="Z46" s="1708">
        <f t="shared" si="15"/>
        <v>111</v>
      </c>
      <c r="AA46" s="1708">
        <f t="shared" si="3"/>
        <v>1</v>
      </c>
      <c r="AB46" s="1708">
        <f t="shared" si="4"/>
        <v>1</v>
      </c>
      <c r="AC46" s="1978">
        <f t="shared" si="5"/>
        <v>1</v>
      </c>
    </row>
    <row r="47" spans="1:29" ht="16"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52"/>
      <c r="Q47" s="1705">
        <f t="shared" si="11"/>
        <v>111</v>
      </c>
      <c r="R47" s="1706" t="s">
        <v>14</v>
      </c>
      <c r="S47" s="1707">
        <f t="shared" si="12"/>
        <v>100</v>
      </c>
      <c r="T47" s="1706" t="s">
        <v>14</v>
      </c>
      <c r="U47" s="1707">
        <f t="shared" si="13"/>
        <v>100</v>
      </c>
      <c r="V47" s="1706" t="s">
        <v>14</v>
      </c>
      <c r="W47" s="1707">
        <f t="shared" si="14"/>
        <v>100</v>
      </c>
      <c r="X47" s="1646"/>
      <c r="Y47" s="3054"/>
      <c r="Z47" s="1708">
        <f t="shared" si="15"/>
        <v>111</v>
      </c>
      <c r="AA47" s="1708">
        <f t="shared" si="3"/>
        <v>1</v>
      </c>
      <c r="AB47" s="1708">
        <f t="shared" si="4"/>
        <v>1</v>
      </c>
      <c r="AC47" s="1978">
        <f t="shared" si="5"/>
        <v>1</v>
      </c>
    </row>
    <row r="48" spans="1:29">
      <c r="A48" s="1751" t="s">
        <v>1936</v>
      </c>
      <c r="B48" s="1752"/>
      <c r="C48" s="1753" t="s">
        <v>0</v>
      </c>
      <c r="D48" s="1754"/>
      <c r="E48" s="1755"/>
      <c r="F48" s="1756"/>
      <c r="G48" s="1757"/>
      <c r="H48" s="1758"/>
      <c r="I48" s="1755"/>
      <c r="J48" s="1758"/>
      <c r="K48" s="1707"/>
      <c r="L48" s="1760"/>
      <c r="M48" s="1645"/>
      <c r="N48" s="1645"/>
      <c r="O48" s="1645"/>
      <c r="P48" s="3057" t="str">
        <f>A48</f>
        <v>成交单价（元/平方米）</v>
      </c>
      <c r="Q48" s="3046"/>
      <c r="R48" s="3047">
        <f>E48</f>
        <v>0</v>
      </c>
      <c r="S48" s="3047"/>
      <c r="T48" s="3047">
        <f>G48</f>
        <v>0</v>
      </c>
      <c r="U48" s="3047"/>
      <c r="V48" s="3047">
        <f>I48</f>
        <v>0</v>
      </c>
      <c r="W48" s="3047"/>
      <c r="X48" s="1709"/>
      <c r="Y48" s="1761"/>
      <c r="Z48" s="1709"/>
      <c r="AA48" s="1709"/>
      <c r="AB48" s="1709"/>
      <c r="AC48" s="1979"/>
    </row>
    <row r="49" spans="1:29" ht="14.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57" t="str">
        <f>A49</f>
        <v>比较价值（元/平方米）</v>
      </c>
      <c r="Q49" s="3046"/>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1709"/>
      <c r="Y49" s="1709"/>
      <c r="Z49" s="1709"/>
      <c r="AA49" s="1709"/>
      <c r="AB49" s="1709"/>
      <c r="AC49" s="1979"/>
    </row>
    <row r="50" spans="1:29" ht="14.5" thickBot="1">
      <c r="A50" s="1769" t="s">
        <v>2029</v>
      </c>
      <c r="B50" s="1770"/>
      <c r="C50" s="1652" t="e">
        <f>R50</f>
        <v>#DIV/0!</v>
      </c>
      <c r="D50" s="1652"/>
      <c r="E50" s="1652"/>
      <c r="F50" s="1652"/>
      <c r="G50" s="1652"/>
      <c r="H50" s="1652"/>
      <c r="I50" s="1652"/>
      <c r="J50" s="1652"/>
      <c r="K50" s="1705"/>
      <c r="L50" s="1760"/>
      <c r="M50" s="1645"/>
      <c r="N50" s="1645"/>
      <c r="O50" s="1645"/>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1.5"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c r="A59" s="1787" t="s">
        <v>1907</v>
      </c>
      <c r="B59" s="1788"/>
      <c r="C59" s="1957" t="str">
        <f>YEAR(C7)&amp;"-"&amp;MONTH(C7)</f>
        <v>2022-10</v>
      </c>
      <c r="D59" s="1790">
        <f>EDATE(C59,-1)</f>
        <v>44805</v>
      </c>
      <c r="E59" s="1790">
        <f>EDATE(D59,-1)</f>
        <v>44774</v>
      </c>
      <c r="F59" s="1790">
        <f t="shared" ref="F59:O59" si="16">EDATE(E59,-1)</f>
        <v>44743</v>
      </c>
      <c r="G59" s="1790">
        <f t="shared" si="16"/>
        <v>44713</v>
      </c>
      <c r="H59" s="1790">
        <f t="shared" si="16"/>
        <v>44682</v>
      </c>
      <c r="I59" s="1790">
        <f t="shared" si="16"/>
        <v>44652</v>
      </c>
      <c r="J59" s="1790">
        <f t="shared" si="16"/>
        <v>44621</v>
      </c>
      <c r="K59" s="1790">
        <f t="shared" si="16"/>
        <v>44593</v>
      </c>
      <c r="L59" s="1790">
        <f t="shared" si="16"/>
        <v>44562</v>
      </c>
      <c r="M59" s="1790">
        <f t="shared" si="16"/>
        <v>44531</v>
      </c>
      <c r="N59" s="1790">
        <f t="shared" si="16"/>
        <v>44501</v>
      </c>
      <c r="O59" s="1790">
        <f t="shared" si="16"/>
        <v>44470</v>
      </c>
      <c r="P59" s="1991"/>
      <c r="Q59" s="446"/>
      <c r="R59" s="446"/>
      <c r="S59" s="446"/>
      <c r="T59" s="446"/>
      <c r="U59" s="446"/>
      <c r="V59" s="446"/>
      <c r="W59" s="446"/>
      <c r="X59" s="446"/>
      <c r="Y59" s="446"/>
      <c r="Z59" s="446"/>
      <c r="AA59" s="446"/>
      <c r="AB59" s="446"/>
      <c r="AC59" s="446"/>
    </row>
    <row r="60" spans="1:29" s="1662" customFormat="1">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4.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4.5"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4.5"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28.5"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4.5"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4.5"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4.5"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4.5"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4.5"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4.5"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4.5"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4.5"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4.5"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4.5"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4.5"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4.5"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4.5"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4.5"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4.5"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4.5"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4.5"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28.5"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4.5"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4.5"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4.5"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4.5"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4.5"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4.5"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4.5"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4.5"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4.5"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4.5"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4.5"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4.5"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4.5"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4.5"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4.5"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4.5"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4.5"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4.5"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4.5"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4.5"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4.5"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4.5"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4.5"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4.5"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4.5"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4.5"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4.5"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28.5"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4.5"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4.5"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4.5"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4.5"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4.5"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4.5"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2004"/>
      <c r="M4" s="2005"/>
      <c r="N4" s="2005"/>
      <c r="O4" s="200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2004"/>
      <c r="M5" s="2005"/>
      <c r="N5" s="2005"/>
      <c r="O5" s="200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2004"/>
      <c r="M6" s="2005"/>
      <c r="N6" s="2005"/>
      <c r="O6" s="200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817"/>
      <c r="M16" s="2005"/>
      <c r="N16" s="2005"/>
      <c r="O16" s="2011"/>
      <c r="P16" s="3049"/>
      <c r="Q16" s="1705"/>
      <c r="R16" s="1706"/>
      <c r="S16" s="1707"/>
      <c r="T16" s="1706"/>
      <c r="U16" s="1707"/>
      <c r="V16" s="1706"/>
      <c r="W16" s="1707"/>
      <c r="X16" s="1646"/>
      <c r="Y16" s="3049"/>
      <c r="Z16" s="1708"/>
      <c r="AA16" s="1708">
        <v>1</v>
      </c>
      <c r="AB16" s="1708">
        <v>1</v>
      </c>
      <c r="AC16" s="1708">
        <v>1</v>
      </c>
    </row>
    <row r="17" spans="1:29" ht="98">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817"/>
      <c r="M18" s="2005"/>
      <c r="N18" s="2005"/>
      <c r="O18" s="2011"/>
      <c r="P18" s="3049"/>
      <c r="Q18" s="1705"/>
      <c r="R18" s="1706"/>
      <c r="S18" s="1707"/>
      <c r="T18" s="1706"/>
      <c r="U18" s="1707"/>
      <c r="V18" s="1706"/>
      <c r="W18" s="1707"/>
      <c r="X18" s="1646"/>
      <c r="Y18" s="3049"/>
      <c r="Z18" s="1708"/>
      <c r="AA18" s="1708">
        <v>1</v>
      </c>
      <c r="AB18" s="1708">
        <v>1</v>
      </c>
      <c r="AC18" s="1708">
        <v>1</v>
      </c>
    </row>
    <row r="19" spans="1:29" ht="42">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49"/>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817"/>
      <c r="M20" s="2005"/>
      <c r="N20" s="2005"/>
      <c r="O20" s="2011"/>
      <c r="P20" s="3049"/>
      <c r="Q20" s="1705"/>
      <c r="R20" s="1706"/>
      <c r="S20" s="1707"/>
      <c r="T20" s="1706"/>
      <c r="U20" s="1707"/>
      <c r="V20" s="1706"/>
      <c r="W20" s="1707"/>
      <c r="X20" s="1646"/>
      <c r="Y20" s="3049"/>
      <c r="Z20" s="1708"/>
      <c r="AA20" s="1708">
        <v>1</v>
      </c>
      <c r="AB20" s="1708">
        <v>1</v>
      </c>
      <c r="AC20" s="1708">
        <v>1</v>
      </c>
    </row>
    <row r="21" spans="1:29" ht="42">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49"/>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817"/>
      <c r="M22" s="2005"/>
      <c r="N22" s="2005"/>
      <c r="O22" s="2011"/>
      <c r="P22" s="3049"/>
      <c r="Q22" s="1705"/>
      <c r="R22" s="1706"/>
      <c r="S22" s="1707"/>
      <c r="T22" s="1706"/>
      <c r="U22" s="1707"/>
      <c r="V22" s="1706"/>
      <c r="W22" s="1707"/>
      <c r="X22" s="1646"/>
      <c r="Y22" s="3049"/>
      <c r="Z22" s="1708"/>
      <c r="AA22" s="1708">
        <v>1</v>
      </c>
      <c r="AB22" s="1708">
        <v>1</v>
      </c>
      <c r="AC22" s="1708">
        <v>1</v>
      </c>
    </row>
    <row r="23" spans="1:29" ht="84">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49"/>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708">
        <f t="shared" si="5"/>
        <v>1</v>
      </c>
    </row>
    <row r="24" spans="1:29" ht="15.5">
      <c r="A24" s="1681"/>
      <c r="B24" s="1725"/>
      <c r="C24" s="1710"/>
      <c r="D24" s="1711"/>
      <c r="E24" s="1712"/>
      <c r="F24" s="1945"/>
      <c r="G24" s="1710"/>
      <c r="H24" s="1711"/>
      <c r="I24" s="1712"/>
      <c r="J24" s="1711"/>
      <c r="K24" s="1946"/>
      <c r="L24" s="1817"/>
      <c r="M24" s="2005"/>
      <c r="N24" s="2005"/>
      <c r="O24" s="2011"/>
      <c r="P24" s="3049"/>
      <c r="Q24" s="1705"/>
      <c r="R24" s="1706"/>
      <c r="S24" s="1707"/>
      <c r="T24" s="1706"/>
      <c r="U24" s="1707"/>
      <c r="V24" s="1706"/>
      <c r="W24" s="1707"/>
      <c r="X24" s="1646"/>
      <c r="Y24" s="3049"/>
      <c r="Z24" s="1708"/>
      <c r="AA24" s="1708">
        <v>1</v>
      </c>
      <c r="AB24" s="1708">
        <v>1</v>
      </c>
      <c r="AC24" s="1708">
        <v>1</v>
      </c>
    </row>
    <row r="25" spans="1:29" ht="15.5">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49"/>
      <c r="Q25" s="1705">
        <f>B25</f>
        <v>111</v>
      </c>
      <c r="R25" s="1706" t="s">
        <v>14</v>
      </c>
      <c r="S25" s="1707">
        <f>F25</f>
        <v>100</v>
      </c>
      <c r="T25" s="1706" t="s">
        <v>14</v>
      </c>
      <c r="U25" s="1707">
        <f>H25</f>
        <v>100</v>
      </c>
      <c r="V25" s="1706" t="s">
        <v>14</v>
      </c>
      <c r="W25" s="1707">
        <f>J25</f>
        <v>100</v>
      </c>
      <c r="X25" s="1646"/>
      <c r="Y25" s="3049"/>
      <c r="Z25" s="1708">
        <f>Q25</f>
        <v>111</v>
      </c>
      <c r="AA25" s="1708">
        <f t="shared" si="3"/>
        <v>1</v>
      </c>
      <c r="AB25" s="1708">
        <f t="shared" si="4"/>
        <v>1</v>
      </c>
      <c r="AC25" s="1708">
        <f t="shared" si="5"/>
        <v>1</v>
      </c>
    </row>
    <row r="26" spans="1:29" ht="15.5">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49"/>
      <c r="Q26" s="1705">
        <f t="shared" ref="Q26:Q40" si="11">B26</f>
        <v>111</v>
      </c>
      <c r="R26" s="1706" t="s">
        <v>14</v>
      </c>
      <c r="S26" s="1707">
        <f>F26</f>
        <v>100</v>
      </c>
      <c r="T26" s="1706" t="s">
        <v>14</v>
      </c>
      <c r="U26" s="1707">
        <f>H26</f>
        <v>100</v>
      </c>
      <c r="V26" s="1706" t="s">
        <v>14</v>
      </c>
      <c r="W26" s="1707">
        <f>J26</f>
        <v>100</v>
      </c>
      <c r="X26" s="1646"/>
      <c r="Y26" s="3049"/>
      <c r="Z26" s="1708">
        <f>Q26</f>
        <v>111</v>
      </c>
      <c r="AA26" s="1708">
        <f t="shared" si="3"/>
        <v>1</v>
      </c>
      <c r="AB26" s="1708">
        <f t="shared" si="4"/>
        <v>1</v>
      </c>
      <c r="AC26" s="1708">
        <f t="shared" si="5"/>
        <v>1</v>
      </c>
    </row>
    <row r="27" spans="1:29" s="1662" customFormat="1" ht="15.5">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49"/>
      <c r="Q27" s="1671">
        <f t="shared" si="11"/>
        <v>111</v>
      </c>
      <c r="R27" s="437" t="s">
        <v>14</v>
      </c>
      <c r="S27" s="1660">
        <f>F27</f>
        <v>100</v>
      </c>
      <c r="T27" s="437" t="s">
        <v>14</v>
      </c>
      <c r="U27" s="1660">
        <f>H27</f>
        <v>100</v>
      </c>
      <c r="V27" s="437" t="s">
        <v>14</v>
      </c>
      <c r="W27" s="1660">
        <f>J27</f>
        <v>100</v>
      </c>
      <c r="X27" s="1661"/>
      <c r="Y27" s="3049"/>
      <c r="Z27" s="443">
        <f>Q27</f>
        <v>111</v>
      </c>
      <c r="AA27" s="1708">
        <f>D27/F27</f>
        <v>1</v>
      </c>
      <c r="AB27" s="1708">
        <f>D27/H27</f>
        <v>1</v>
      </c>
      <c r="AC27" s="1708">
        <f>D27/J27</f>
        <v>1</v>
      </c>
    </row>
    <row r="28" spans="1:29" ht="16"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49"/>
      <c r="Q28" s="1705">
        <f t="shared" si="11"/>
        <v>111</v>
      </c>
      <c r="R28" s="1706" t="s">
        <v>14</v>
      </c>
      <c r="S28" s="1707">
        <f t="shared" ref="S28:S40" si="12">F28</f>
        <v>100</v>
      </c>
      <c r="T28" s="1706" t="s">
        <v>14</v>
      </c>
      <c r="U28" s="1707">
        <f t="shared" ref="U28:U40" si="13">H28</f>
        <v>100</v>
      </c>
      <c r="V28" s="1706" t="s">
        <v>14</v>
      </c>
      <c r="W28" s="1707">
        <f t="shared" ref="W28:W40" si="14">J28</f>
        <v>100</v>
      </c>
      <c r="X28" s="1646"/>
      <c r="Y28" s="3049"/>
      <c r="Z28" s="1708">
        <f t="shared" ref="Z28:Z40" si="15">Q28</f>
        <v>111</v>
      </c>
      <c r="AA28" s="1708">
        <f t="shared" si="3"/>
        <v>1</v>
      </c>
      <c r="AB28" s="1708">
        <f t="shared" si="4"/>
        <v>1</v>
      </c>
      <c r="AC28" s="1708">
        <f t="shared" si="5"/>
        <v>1</v>
      </c>
    </row>
    <row r="29" spans="1:29" ht="29">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103" t="s">
        <v>1924</v>
      </c>
      <c r="Q29" s="1705" t="str">
        <f t="shared" si="11"/>
        <v>建筑类型</v>
      </c>
      <c r="R29" s="1706" t="s">
        <v>14</v>
      </c>
      <c r="S29" s="1707">
        <f t="shared" si="12"/>
        <v>100</v>
      </c>
      <c r="T29" s="1706" t="s">
        <v>14</v>
      </c>
      <c r="U29" s="1707">
        <f t="shared" si="13"/>
        <v>100</v>
      </c>
      <c r="V29" s="1706" t="s">
        <v>14</v>
      </c>
      <c r="W29" s="1707">
        <f t="shared" si="14"/>
        <v>100</v>
      </c>
      <c r="X29" s="1646"/>
      <c r="Y29" s="3053" t="s">
        <v>1924</v>
      </c>
      <c r="Z29" s="1708" t="str">
        <f t="shared" si="15"/>
        <v>建筑类型</v>
      </c>
      <c r="AA29" s="1708">
        <f t="shared" si="3"/>
        <v>1</v>
      </c>
      <c r="AB29" s="1708">
        <f t="shared" si="4"/>
        <v>1</v>
      </c>
      <c r="AC29" s="1708">
        <f t="shared" si="5"/>
        <v>1</v>
      </c>
    </row>
    <row r="30" spans="1:29" s="1746" customFormat="1" ht="15.5">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53"/>
      <c r="Q30" s="1741" t="str">
        <f t="shared" si="11"/>
        <v>项目建筑规模</v>
      </c>
      <c r="R30" s="1742" t="s">
        <v>14</v>
      </c>
      <c r="S30" s="1743" t="e">
        <f t="shared" si="12"/>
        <v>#N/A</v>
      </c>
      <c r="T30" s="1742" t="s">
        <v>14</v>
      </c>
      <c r="U30" s="1743" t="e">
        <f t="shared" si="13"/>
        <v>#N/A</v>
      </c>
      <c r="V30" s="1742" t="s">
        <v>14</v>
      </c>
      <c r="W30" s="1743" t="e">
        <f t="shared" si="14"/>
        <v>#N/A</v>
      </c>
      <c r="X30" s="1744"/>
      <c r="Y30" s="3053"/>
      <c r="Z30" s="1745" t="str">
        <f t="shared" si="15"/>
        <v>项目建筑规模</v>
      </c>
      <c r="AA30" s="1708" t="e">
        <f t="shared" si="3"/>
        <v>#N/A</v>
      </c>
      <c r="AB30" s="1708" t="e">
        <f t="shared" si="4"/>
        <v>#N/A</v>
      </c>
      <c r="AC30" s="1708" t="e">
        <f t="shared" si="5"/>
        <v>#N/A</v>
      </c>
    </row>
    <row r="31" spans="1:29" ht="15.5">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53"/>
      <c r="Q31" s="1705" t="str">
        <f t="shared" si="11"/>
        <v>建筑结构</v>
      </c>
      <c r="R31" s="1706" t="s">
        <v>14</v>
      </c>
      <c r="S31" s="1707">
        <f t="shared" si="12"/>
        <v>100</v>
      </c>
      <c r="T31" s="1706" t="s">
        <v>14</v>
      </c>
      <c r="U31" s="1707">
        <f t="shared" si="13"/>
        <v>100</v>
      </c>
      <c r="V31" s="1706" t="s">
        <v>14</v>
      </c>
      <c r="W31" s="1707">
        <f t="shared" si="14"/>
        <v>100</v>
      </c>
      <c r="X31" s="1646"/>
      <c r="Y31" s="3053"/>
      <c r="Z31" s="1708" t="str">
        <f t="shared" si="15"/>
        <v>建筑结构</v>
      </c>
      <c r="AA31" s="1708">
        <f t="shared" si="3"/>
        <v>1</v>
      </c>
      <c r="AB31" s="1708">
        <f t="shared" si="4"/>
        <v>1</v>
      </c>
      <c r="AC31" s="1708">
        <f t="shared" si="5"/>
        <v>1</v>
      </c>
    </row>
    <row r="32" spans="1:29" ht="15.5">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53"/>
      <c r="Q32" s="1705" t="str">
        <f t="shared" si="11"/>
        <v>公共部分装修</v>
      </c>
      <c r="R32" s="1706" t="s">
        <v>14</v>
      </c>
      <c r="S32" s="1707">
        <f t="shared" si="12"/>
        <v>100</v>
      </c>
      <c r="T32" s="1706" t="s">
        <v>14</v>
      </c>
      <c r="U32" s="1707">
        <f t="shared" si="13"/>
        <v>100</v>
      </c>
      <c r="V32" s="1706" t="s">
        <v>14</v>
      </c>
      <c r="W32" s="1707">
        <f t="shared" si="14"/>
        <v>100</v>
      </c>
      <c r="X32" s="1646"/>
      <c r="Y32" s="3053"/>
      <c r="Z32" s="1708" t="str">
        <f t="shared" si="15"/>
        <v>公共部分装修</v>
      </c>
      <c r="AA32" s="1708">
        <f t="shared" si="3"/>
        <v>1</v>
      </c>
      <c r="AB32" s="1708">
        <f t="shared" si="4"/>
        <v>1</v>
      </c>
      <c r="AC32" s="1708">
        <f t="shared" si="5"/>
        <v>1</v>
      </c>
    </row>
    <row r="33" spans="1:29" ht="15.5">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53"/>
      <c r="Q33" s="1705" t="str">
        <f t="shared" si="11"/>
        <v>成新度</v>
      </c>
      <c r="R33" s="1706" t="s">
        <v>14</v>
      </c>
      <c r="S33" s="1707" t="e">
        <f t="shared" si="12"/>
        <v>#N/A</v>
      </c>
      <c r="T33" s="1706" t="s">
        <v>14</v>
      </c>
      <c r="U33" s="1707" t="e">
        <f t="shared" si="13"/>
        <v>#N/A</v>
      </c>
      <c r="V33" s="1706" t="s">
        <v>14</v>
      </c>
      <c r="W33" s="1707" t="e">
        <f t="shared" si="14"/>
        <v>#N/A</v>
      </c>
      <c r="X33" s="1646"/>
      <c r="Y33" s="3053"/>
      <c r="Z33" s="1708" t="str">
        <f t="shared" si="15"/>
        <v>成新度</v>
      </c>
      <c r="AA33" s="1708" t="e">
        <f t="shared" si="3"/>
        <v>#N/A</v>
      </c>
      <c r="AB33" s="1708" t="e">
        <f t="shared" si="4"/>
        <v>#N/A</v>
      </c>
      <c r="AC33" s="1708" t="e">
        <f t="shared" si="5"/>
        <v>#N/A</v>
      </c>
    </row>
    <row r="34" spans="1:29" s="1662" customFormat="1" ht="15.5">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53"/>
      <c r="Q34" s="1671" t="str">
        <f t="shared" si="11"/>
        <v>物业管理</v>
      </c>
      <c r="R34" s="437" t="s">
        <v>14</v>
      </c>
      <c r="S34" s="1660">
        <f t="shared" si="12"/>
        <v>100</v>
      </c>
      <c r="T34" s="437" t="s">
        <v>14</v>
      </c>
      <c r="U34" s="1660">
        <f t="shared" si="13"/>
        <v>100</v>
      </c>
      <c r="V34" s="437" t="s">
        <v>14</v>
      </c>
      <c r="W34" s="1660">
        <f t="shared" si="14"/>
        <v>100</v>
      </c>
      <c r="X34" s="1661"/>
      <c r="Y34" s="3053"/>
      <c r="Z34" s="443" t="str">
        <f t="shared" si="15"/>
        <v>物业管理</v>
      </c>
      <c r="AA34" s="443">
        <f t="shared" si="3"/>
        <v>1</v>
      </c>
      <c r="AB34" s="443">
        <f t="shared" si="4"/>
        <v>1</v>
      </c>
      <c r="AC34" s="443">
        <f t="shared" si="5"/>
        <v>1</v>
      </c>
    </row>
    <row r="35" spans="1:29" ht="15.5">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53" t="s">
        <v>1924</v>
      </c>
      <c r="Q35" s="1705" t="str">
        <f t="shared" si="11"/>
        <v>市政基础设施</v>
      </c>
      <c r="R35" s="1706" t="s">
        <v>14</v>
      </c>
      <c r="S35" s="1707">
        <f t="shared" si="12"/>
        <v>100</v>
      </c>
      <c r="T35" s="1706" t="s">
        <v>14</v>
      </c>
      <c r="U35" s="1707">
        <f t="shared" si="13"/>
        <v>100</v>
      </c>
      <c r="V35" s="1706" t="s">
        <v>14</v>
      </c>
      <c r="W35" s="1707">
        <f t="shared" si="14"/>
        <v>100</v>
      </c>
      <c r="X35" s="1646"/>
      <c r="Y35" s="3053" t="s">
        <v>1924</v>
      </c>
      <c r="Z35" s="1708" t="str">
        <f t="shared" si="15"/>
        <v>市政基础设施</v>
      </c>
      <c r="AA35" s="1708">
        <f t="shared" si="3"/>
        <v>1</v>
      </c>
      <c r="AB35" s="1708">
        <f t="shared" si="4"/>
        <v>1</v>
      </c>
      <c r="AC35" s="1708">
        <f t="shared" si="5"/>
        <v>1</v>
      </c>
    </row>
    <row r="36" spans="1:29" ht="15.5">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53"/>
      <c r="Q36" s="1705" t="str">
        <f t="shared" si="11"/>
        <v>内部装修</v>
      </c>
      <c r="R36" s="1706" t="s">
        <v>14</v>
      </c>
      <c r="S36" s="1707">
        <f t="shared" si="12"/>
        <v>100</v>
      </c>
      <c r="T36" s="1706" t="s">
        <v>14</v>
      </c>
      <c r="U36" s="1707">
        <f t="shared" si="13"/>
        <v>100</v>
      </c>
      <c r="V36" s="1706" t="s">
        <v>14</v>
      </c>
      <c r="W36" s="1707">
        <f t="shared" si="14"/>
        <v>100</v>
      </c>
      <c r="X36" s="1646"/>
      <c r="Y36" s="3053"/>
      <c r="Z36" s="1708" t="str">
        <f t="shared" si="15"/>
        <v>内部装修</v>
      </c>
      <c r="AA36" s="1708">
        <f t="shared" si="3"/>
        <v>1</v>
      </c>
      <c r="AB36" s="1708">
        <f t="shared" si="4"/>
        <v>1</v>
      </c>
      <c r="AC36" s="1708">
        <f t="shared" si="5"/>
        <v>1</v>
      </c>
    </row>
    <row r="37" spans="1:29" ht="15.5">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53"/>
      <c r="Q37" s="1705" t="str">
        <f t="shared" si="11"/>
        <v>内部装修状况</v>
      </c>
      <c r="R37" s="1706" t="s">
        <v>14</v>
      </c>
      <c r="S37" s="1707">
        <f t="shared" si="12"/>
        <v>100</v>
      </c>
      <c r="T37" s="1706" t="s">
        <v>14</v>
      </c>
      <c r="U37" s="1707">
        <f t="shared" si="13"/>
        <v>100</v>
      </c>
      <c r="V37" s="1706" t="s">
        <v>14</v>
      </c>
      <c r="W37" s="1707">
        <f t="shared" si="14"/>
        <v>100</v>
      </c>
      <c r="X37" s="1646"/>
      <c r="Y37" s="3053"/>
      <c r="Z37" s="1708" t="str">
        <f t="shared" si="15"/>
        <v>内部装修状况</v>
      </c>
      <c r="AA37" s="1708">
        <f t="shared" si="3"/>
        <v>1</v>
      </c>
      <c r="AB37" s="1708">
        <f t="shared" si="4"/>
        <v>1</v>
      </c>
      <c r="AC37" s="1708">
        <f t="shared" si="5"/>
        <v>1</v>
      </c>
    </row>
    <row r="38" spans="1:29" s="1746" customFormat="1" ht="15.5">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53"/>
      <c r="Q38" s="1741">
        <f t="shared" si="11"/>
        <v>111</v>
      </c>
      <c r="R38" s="1742" t="s">
        <v>14</v>
      </c>
      <c r="S38" s="1743">
        <f t="shared" si="12"/>
        <v>100</v>
      </c>
      <c r="T38" s="1742" t="s">
        <v>14</v>
      </c>
      <c r="U38" s="1743">
        <f t="shared" si="13"/>
        <v>100</v>
      </c>
      <c r="V38" s="1742" t="s">
        <v>14</v>
      </c>
      <c r="W38" s="1743">
        <f t="shared" si="14"/>
        <v>100</v>
      </c>
      <c r="X38" s="1744"/>
      <c r="Y38" s="3053"/>
      <c r="Z38" s="1745">
        <f t="shared" si="15"/>
        <v>111</v>
      </c>
      <c r="AA38" s="1708">
        <f t="shared" si="3"/>
        <v>1</v>
      </c>
      <c r="AB38" s="1708">
        <f t="shared" si="4"/>
        <v>1</v>
      </c>
      <c r="AC38" s="1708">
        <f t="shared" si="5"/>
        <v>1</v>
      </c>
    </row>
    <row r="39" spans="1:29" ht="15.5">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53"/>
      <c r="Q39" s="1705">
        <f t="shared" si="11"/>
        <v>111</v>
      </c>
      <c r="R39" s="1706" t="s">
        <v>14</v>
      </c>
      <c r="S39" s="1707">
        <f t="shared" si="12"/>
        <v>100</v>
      </c>
      <c r="T39" s="1706" t="s">
        <v>14</v>
      </c>
      <c r="U39" s="1707">
        <f t="shared" si="13"/>
        <v>100</v>
      </c>
      <c r="V39" s="1706" t="s">
        <v>14</v>
      </c>
      <c r="W39" s="1707">
        <f t="shared" si="14"/>
        <v>100</v>
      </c>
      <c r="X39" s="1646"/>
      <c r="Y39" s="3053"/>
      <c r="Z39" s="1708">
        <f t="shared" si="15"/>
        <v>111</v>
      </c>
      <c r="AA39" s="1708">
        <f t="shared" si="3"/>
        <v>1</v>
      </c>
      <c r="AB39" s="1708">
        <f t="shared" si="4"/>
        <v>1</v>
      </c>
      <c r="AC39" s="1708">
        <f t="shared" si="5"/>
        <v>1</v>
      </c>
    </row>
    <row r="40" spans="1:29" ht="16"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54"/>
      <c r="Q40" s="1705">
        <f t="shared" si="11"/>
        <v>111</v>
      </c>
      <c r="R40" s="1706" t="s">
        <v>14</v>
      </c>
      <c r="S40" s="1707">
        <f t="shared" si="12"/>
        <v>100</v>
      </c>
      <c r="T40" s="1706" t="s">
        <v>14</v>
      </c>
      <c r="U40" s="1707">
        <f t="shared" si="13"/>
        <v>100</v>
      </c>
      <c r="V40" s="1706" t="s">
        <v>14</v>
      </c>
      <c r="W40" s="1707">
        <f t="shared" si="14"/>
        <v>100</v>
      </c>
      <c r="X40" s="1646"/>
      <c r="Y40" s="3054"/>
      <c r="Z40" s="1708">
        <f t="shared" si="15"/>
        <v>111</v>
      </c>
      <c r="AA40" s="1708">
        <f t="shared" si="3"/>
        <v>1</v>
      </c>
      <c r="AB40" s="1708">
        <f t="shared" si="4"/>
        <v>1</v>
      </c>
      <c r="AC40" s="1708">
        <f t="shared" si="5"/>
        <v>1</v>
      </c>
    </row>
    <row r="41" spans="1:29">
      <c r="A41" s="1751" t="s">
        <v>1936</v>
      </c>
      <c r="B41" s="1752"/>
      <c r="C41" s="1753" t="s">
        <v>0</v>
      </c>
      <c r="D41" s="1754"/>
      <c r="E41" s="1755"/>
      <c r="F41" s="1756"/>
      <c r="G41" s="1757"/>
      <c r="H41" s="1758"/>
      <c r="I41" s="1755"/>
      <c r="J41" s="1758"/>
      <c r="K41" s="1707"/>
      <c r="L41" s="2016"/>
      <c r="M41" s="2005"/>
      <c r="N41" s="2005"/>
      <c r="O41" s="2005"/>
      <c r="P41" s="3046" t="str">
        <f>A41</f>
        <v>成交单价（元/平方米）</v>
      </c>
      <c r="Q41" s="3046"/>
      <c r="R41" s="3047">
        <f>E41</f>
        <v>0</v>
      </c>
      <c r="S41" s="3047"/>
      <c r="T41" s="3047">
        <f>G41</f>
        <v>0</v>
      </c>
      <c r="U41" s="3047"/>
      <c r="V41" s="3047">
        <f>I41</f>
        <v>0</v>
      </c>
      <c r="W41" s="3047"/>
      <c r="X41" s="1709"/>
      <c r="Y41" s="1761"/>
      <c r="Z41" s="1709"/>
      <c r="AA41" s="1709"/>
      <c r="AB41" s="1709"/>
      <c r="AC41" s="1709"/>
    </row>
    <row r="42" spans="1:29" ht="14.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46" t="str">
        <f>A42</f>
        <v>比较价值（元/平方米）</v>
      </c>
      <c r="Q42" s="3046"/>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1709"/>
      <c r="Y42" s="1709"/>
      <c r="Z42" s="1709"/>
      <c r="AA42" s="1709"/>
      <c r="AB42" s="1709"/>
      <c r="AC42" s="1709"/>
    </row>
    <row r="43" spans="1:29" ht="14.5" thickBot="1">
      <c r="A43" s="1769" t="s">
        <v>2029</v>
      </c>
      <c r="B43" s="1770"/>
      <c r="C43" s="1652" t="e">
        <f>R43</f>
        <v>#DIV/0!</v>
      </c>
      <c r="D43" s="1652"/>
      <c r="E43" s="1652"/>
      <c r="F43" s="1652"/>
      <c r="G43" s="1652"/>
      <c r="H43" s="1652"/>
      <c r="I43" s="1652"/>
      <c r="J43" s="1652"/>
      <c r="K43" s="1705"/>
      <c r="L43" s="2016"/>
      <c r="M43" s="2005"/>
      <c r="N43" s="2005"/>
      <c r="O43" s="2005"/>
      <c r="P43" s="3043" t="str">
        <f>A43</f>
        <v>估价对象XX用房的比较价值（楼面单价，元/平方米）</v>
      </c>
      <c r="Q43" s="3044"/>
      <c r="R43" s="3045" t="e">
        <f>IF(F1="售价",ROUND(IF(D42="简单平均",AVERAGE(R42:V42),R42*F42+T42*H42+V42*J42),0),ROUND(IF(D42="简单平均",AVERAGE(R42:V42),R42*F42+T42*H42+V42*J42),1))</f>
        <v>#DIV/0!</v>
      </c>
      <c r="S43" s="3045"/>
      <c r="T43" s="3045"/>
      <c r="U43" s="3045"/>
      <c r="V43" s="3045"/>
      <c r="W43" s="3045"/>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1.5"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c r="A52" s="1787" t="s">
        <v>1907</v>
      </c>
      <c r="B52" s="1788"/>
      <c r="C52" s="1957" t="str">
        <f>YEAR(C7)&amp;"-"&amp;MONTH(C7)</f>
        <v>2022-10</v>
      </c>
      <c r="D52" s="1790">
        <f>EDATE(C52,-1)</f>
        <v>44805</v>
      </c>
      <c r="E52" s="1790">
        <f t="shared" ref="E52:O52" si="16">EDATE(D52,-1)</f>
        <v>44774</v>
      </c>
      <c r="F52" s="1790">
        <f t="shared" si="16"/>
        <v>44743</v>
      </c>
      <c r="G52" s="1790">
        <f t="shared" si="16"/>
        <v>44713</v>
      </c>
      <c r="H52" s="1790">
        <f t="shared" si="16"/>
        <v>44682</v>
      </c>
      <c r="I52" s="1790">
        <f t="shared" si="16"/>
        <v>44652</v>
      </c>
      <c r="J52" s="1790">
        <f t="shared" si="16"/>
        <v>44621</v>
      </c>
      <c r="K52" s="1790">
        <f t="shared" si="16"/>
        <v>44593</v>
      </c>
      <c r="L52" s="1790">
        <f t="shared" si="16"/>
        <v>44562</v>
      </c>
      <c r="M52" s="1790">
        <f t="shared" si="16"/>
        <v>44531</v>
      </c>
      <c r="N52" s="1790">
        <f t="shared" si="16"/>
        <v>44501</v>
      </c>
      <c r="O52" s="1790">
        <f t="shared" si="16"/>
        <v>44470</v>
      </c>
    </row>
    <row r="53" spans="1:17" s="1662" customFormat="1">
      <c r="A53" s="1792"/>
      <c r="B53" s="1803"/>
      <c r="C53" s="1794">
        <v>100</v>
      </c>
      <c r="D53" s="1796"/>
      <c r="E53" s="1796"/>
      <c r="F53" s="1796"/>
      <c r="G53" s="1796"/>
      <c r="H53" s="1796"/>
      <c r="I53" s="1796"/>
      <c r="J53" s="1796"/>
      <c r="K53" s="1796"/>
      <c r="L53" s="1796"/>
      <c r="M53" s="1686"/>
      <c r="N53" s="1796"/>
      <c r="O53" s="1810"/>
      <c r="P53" s="1786"/>
    </row>
    <row r="54" spans="1:17" s="1662" customFormat="1" ht="14.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4.5" thickBot="1">
      <c r="A56" s="1802"/>
      <c r="B56" s="1803"/>
      <c r="C56" s="2021">
        <v>100</v>
      </c>
      <c r="D56" s="1796"/>
      <c r="E56" s="1796"/>
      <c r="F56" s="1796"/>
      <c r="G56" s="1796"/>
      <c r="H56" s="1796"/>
      <c r="I56" s="1796"/>
      <c r="J56" s="1796"/>
      <c r="K56" s="1796"/>
      <c r="L56" s="1796"/>
      <c r="M56" s="1810"/>
      <c r="N56" s="1808"/>
      <c r="O56" s="1808"/>
      <c r="P56" s="1786"/>
      <c r="Q56" s="1786"/>
    </row>
    <row r="57" spans="1:17">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4.5" thickBot="1">
      <c r="A58" s="1681"/>
      <c r="B58" s="1818"/>
      <c r="C58" s="1819">
        <v>100</v>
      </c>
      <c r="D58" s="1819"/>
      <c r="E58" s="1819"/>
      <c r="F58" s="1819"/>
      <c r="G58" s="1819"/>
      <c r="H58" s="1819"/>
      <c r="I58" s="1819"/>
      <c r="J58" s="1819"/>
      <c r="K58" s="1819"/>
      <c r="L58" s="1819"/>
      <c r="M58" s="1820"/>
      <c r="N58" s="1821"/>
      <c r="O58" s="1821"/>
      <c r="P58" s="1786"/>
      <c r="Q58" s="1786"/>
    </row>
    <row r="59" spans="1:17" ht="28.5"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4.5"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4.5"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c r="A62" s="1681"/>
      <c r="B62" s="1832"/>
      <c r="C62" s="1833"/>
      <c r="D62" s="1833"/>
      <c r="E62" s="1833"/>
      <c r="F62" s="1833"/>
      <c r="G62" s="1833"/>
      <c r="H62" s="1833"/>
      <c r="I62" s="1833"/>
      <c r="J62" s="1833"/>
      <c r="K62" s="1834"/>
      <c r="L62" s="1835"/>
      <c r="M62" s="1836"/>
      <c r="N62" s="1817"/>
      <c r="O62" s="1817"/>
      <c r="P62" s="1786"/>
      <c r="Q62" s="1786"/>
    </row>
    <row r="63" spans="1:17" ht="14.5"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4.5"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4.5" thickBot="1">
      <c r="A65" s="1837"/>
      <c r="B65" s="1827"/>
      <c r="C65" s="1845"/>
      <c r="D65" s="1819"/>
      <c r="E65" s="1819"/>
      <c r="F65" s="1819"/>
      <c r="G65" s="1819"/>
      <c r="H65" s="1819"/>
      <c r="I65" s="1819"/>
      <c r="J65" s="1819"/>
      <c r="K65" s="1819"/>
      <c r="L65" s="1819"/>
      <c r="M65" s="1820"/>
      <c r="N65" s="1821"/>
      <c r="O65" s="1821"/>
      <c r="P65" s="1844"/>
      <c r="Q65" s="1844"/>
    </row>
    <row r="66" spans="1:17" s="1746" customFormat="1" ht="14.5" thickTop="1">
      <c r="A66" s="1837"/>
      <c r="B66" s="1822">
        <f>B13</f>
        <v>111</v>
      </c>
      <c r="C66" s="1838"/>
      <c r="D66" s="1838"/>
      <c r="E66" s="1838"/>
      <c r="F66" s="1838"/>
      <c r="G66" s="1838"/>
      <c r="H66" s="1839"/>
      <c r="I66" s="1839"/>
      <c r="J66" s="1839"/>
      <c r="K66" s="1839"/>
      <c r="L66" s="1840"/>
      <c r="M66" s="1841"/>
      <c r="N66" s="1842"/>
      <c r="O66" s="1842"/>
    </row>
    <row r="67" spans="1:17" s="1746" customFormat="1" ht="14.5" thickBot="1">
      <c r="A67" s="1837"/>
      <c r="B67" s="1827"/>
      <c r="C67" s="1845"/>
      <c r="D67" s="1819"/>
      <c r="E67" s="1819"/>
      <c r="F67" s="1819"/>
      <c r="G67" s="1845"/>
      <c r="H67" s="1847"/>
      <c r="I67" s="1847"/>
      <c r="J67" s="1847"/>
      <c r="K67" s="1847"/>
      <c r="L67" s="1847"/>
      <c r="M67" s="1848"/>
      <c r="N67" s="1842"/>
      <c r="O67" s="1842"/>
      <c r="P67" s="1844"/>
      <c r="Q67" s="1844"/>
    </row>
    <row r="68" spans="1:17" s="1746" customFormat="1" ht="14.5"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4.5" thickBot="1">
      <c r="A69" s="1853"/>
      <c r="B69" s="1854"/>
      <c r="C69" s="1855"/>
      <c r="D69" s="1855"/>
      <c r="E69" s="1855"/>
      <c r="F69" s="1855"/>
      <c r="G69" s="1855"/>
      <c r="H69" s="1856"/>
      <c r="I69" s="1856"/>
      <c r="J69" s="1856"/>
      <c r="K69" s="1856"/>
      <c r="L69" s="1856"/>
      <c r="M69" s="1857"/>
      <c r="N69" s="1842"/>
      <c r="O69" s="1842"/>
      <c r="P69" s="1844"/>
      <c r="Q69" s="1844"/>
    </row>
    <row r="70" spans="1:17">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4.5"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4.5"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4.5"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4.5"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4.5"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4.5"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4.5"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4.5"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4.5"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4.5"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4.5" thickBot="1">
      <c r="A81" s="1685"/>
      <c r="B81" s="1827"/>
      <c r="C81" s="1845"/>
      <c r="D81" s="1819"/>
      <c r="E81" s="1819"/>
      <c r="F81" s="1819"/>
      <c r="G81" s="1819"/>
      <c r="H81" s="1819"/>
      <c r="I81" s="1819"/>
      <c r="J81" s="1819"/>
      <c r="K81" s="1819"/>
      <c r="L81" s="1819"/>
      <c r="M81" s="1820"/>
      <c r="N81" s="1821"/>
      <c r="O81" s="1821"/>
      <c r="P81" s="1786"/>
      <c r="Q81" s="1786"/>
    </row>
    <row r="82" spans="1:17" s="1662" customFormat="1" ht="14.5"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4.5" thickBot="1">
      <c r="A83" s="1685"/>
      <c r="B83" s="1827"/>
      <c r="C83" s="1845"/>
      <c r="D83" s="1819"/>
      <c r="E83" s="1819"/>
      <c r="F83" s="1819"/>
      <c r="G83" s="1819"/>
      <c r="H83" s="1819"/>
      <c r="I83" s="1819"/>
      <c r="J83" s="1819"/>
      <c r="K83" s="1819"/>
      <c r="L83" s="1819"/>
      <c r="M83" s="1820"/>
      <c r="N83" s="1821"/>
      <c r="O83" s="1821"/>
      <c r="P83" s="1786"/>
      <c r="Q83" s="1786"/>
    </row>
    <row r="84" spans="1:17" s="1746" customFormat="1" ht="14.5"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4.5" thickBot="1">
      <c r="A85" s="1837"/>
      <c r="B85" s="1827"/>
      <c r="C85" s="1845"/>
      <c r="D85" s="1819"/>
      <c r="E85" s="1819"/>
      <c r="F85" s="1819"/>
      <c r="G85" s="1819"/>
      <c r="H85" s="1819"/>
      <c r="I85" s="1819"/>
      <c r="J85" s="1819"/>
      <c r="K85" s="1819"/>
      <c r="L85" s="1819"/>
      <c r="M85" s="1820"/>
      <c r="N85" s="1842"/>
      <c r="O85" s="1842"/>
      <c r="P85" s="1844"/>
      <c r="Q85" s="1844"/>
    </row>
    <row r="86" spans="1:17" ht="14.5" thickTop="1">
      <c r="A86" s="1681"/>
      <c r="B86" s="1830">
        <f>B28</f>
        <v>111</v>
      </c>
      <c r="C86" s="1805"/>
      <c r="D86" s="1805"/>
      <c r="E86" s="1805"/>
      <c r="F86" s="1805"/>
      <c r="G86" s="1873"/>
      <c r="H86" s="1873"/>
      <c r="I86" s="1873"/>
      <c r="J86" s="1873"/>
      <c r="K86" s="1874"/>
      <c r="L86" s="1875"/>
      <c r="M86" s="1876"/>
      <c r="N86" s="1817"/>
      <c r="O86" s="1817"/>
      <c r="P86" s="1786"/>
      <c r="Q86" s="1786"/>
    </row>
    <row r="87" spans="1:17" ht="14.5" thickBot="1">
      <c r="A87" s="1693"/>
      <c r="B87" s="1854"/>
      <c r="C87" s="1855"/>
      <c r="D87" s="1855"/>
      <c r="E87" s="1855"/>
      <c r="F87" s="1855"/>
      <c r="G87" s="1877"/>
      <c r="H87" s="1877"/>
      <c r="I87" s="1877"/>
      <c r="J87" s="1877"/>
      <c r="K87" s="1877"/>
      <c r="L87" s="1877"/>
      <c r="M87" s="1878"/>
      <c r="N87" s="1821"/>
      <c r="O87" s="1821"/>
      <c r="P87" s="1786"/>
      <c r="Q87" s="1786"/>
    </row>
    <row r="88" spans="1:17">
      <c r="A88" s="1698" t="s">
        <v>1922</v>
      </c>
      <c r="B88" s="1811" t="s">
        <v>1971</v>
      </c>
      <c r="C88" s="1813"/>
      <c r="D88" s="1813"/>
      <c r="E88" s="1813"/>
      <c r="F88" s="1813"/>
      <c r="G88" s="1813"/>
      <c r="H88" s="1813"/>
      <c r="I88" s="1813"/>
      <c r="J88" s="1813"/>
      <c r="K88" s="1814"/>
      <c r="L88" s="1815"/>
      <c r="M88" s="1816"/>
      <c r="N88" s="1817"/>
      <c r="O88" s="1817"/>
      <c r="P88" s="1786"/>
      <c r="Q88" s="1786"/>
    </row>
    <row r="89" spans="1:17" ht="14.5"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4.5"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4.5" thickBot="1">
      <c r="A92" s="1837"/>
      <c r="B92" s="1827"/>
      <c r="C92" s="1845"/>
      <c r="D92" s="1819"/>
      <c r="E92" s="1819"/>
      <c r="F92" s="1819"/>
      <c r="G92" s="1819"/>
      <c r="H92" s="1819"/>
      <c r="I92" s="1819"/>
      <c r="J92" s="1819"/>
      <c r="K92" s="1819"/>
      <c r="L92" s="1819"/>
      <c r="M92" s="1820"/>
      <c r="N92" s="1821"/>
      <c r="O92" s="1821"/>
      <c r="P92" s="1844"/>
      <c r="Q92" s="1844"/>
    </row>
    <row r="93" spans="1:17" ht="14.5" thickTop="1">
      <c r="A93" s="1747"/>
      <c r="B93" s="1822" t="s">
        <v>1973</v>
      </c>
      <c r="C93" s="1838"/>
      <c r="D93" s="1838"/>
      <c r="E93" s="1869"/>
      <c r="F93" s="1869"/>
      <c r="G93" s="1869"/>
      <c r="H93" s="1869"/>
      <c r="I93" s="1869"/>
      <c r="J93" s="1869"/>
      <c r="K93" s="1870"/>
      <c r="L93" s="1871"/>
      <c r="M93" s="1872"/>
      <c r="N93" s="1817"/>
      <c r="O93" s="1817"/>
      <c r="P93" s="1786"/>
      <c r="Q93" s="1786"/>
    </row>
    <row r="94" spans="1:17" ht="14.5"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4.5" thickTop="1">
      <c r="A95" s="1747"/>
      <c r="B95" s="1822" t="s">
        <v>1975</v>
      </c>
      <c r="C95" s="1838"/>
      <c r="D95" s="1838"/>
      <c r="E95" s="1838"/>
      <c r="F95" s="1869"/>
      <c r="G95" s="1869"/>
      <c r="H95" s="1869"/>
      <c r="I95" s="1869"/>
      <c r="J95" s="1869"/>
      <c r="K95" s="1870"/>
      <c r="L95" s="1871"/>
      <c r="M95" s="1872"/>
      <c r="N95" s="1817"/>
      <c r="O95" s="1817"/>
      <c r="P95" s="1786"/>
      <c r="Q95" s="1786"/>
    </row>
    <row r="96" spans="1:17" ht="14.5"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4.5"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4.5"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4.5"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4.5"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4.5"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4.5"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4.5"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4.5"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28.5"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4.5"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4.5"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4.5" thickBot="1">
      <c r="A109" s="1837"/>
      <c r="B109" s="1818"/>
      <c r="C109" s="1845"/>
      <c r="D109" s="1819"/>
      <c r="E109" s="1819"/>
      <c r="F109" s="1819"/>
      <c r="G109" s="1845"/>
      <c r="H109" s="1847"/>
      <c r="I109" s="1847"/>
      <c r="J109" s="1847"/>
      <c r="K109" s="1847"/>
      <c r="L109" s="1847"/>
      <c r="M109" s="1848"/>
      <c r="N109" s="1842"/>
      <c r="O109" s="1842"/>
      <c r="P109" s="1844"/>
      <c r="Q109" s="1844"/>
    </row>
    <row r="110" spans="1:17" ht="14.5"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4.5" thickBot="1">
      <c r="A111" s="1681"/>
      <c r="B111" s="1827"/>
      <c r="C111" s="1845"/>
      <c r="D111" s="1819"/>
      <c r="E111" s="1819"/>
      <c r="F111" s="1819"/>
      <c r="G111" s="1845"/>
      <c r="H111" s="1847"/>
      <c r="I111" s="1847"/>
      <c r="J111" s="1847"/>
      <c r="K111" s="1847"/>
      <c r="L111" s="1847"/>
      <c r="M111" s="1848"/>
      <c r="N111" s="1821"/>
      <c r="O111" s="1821"/>
      <c r="P111" s="1786"/>
      <c r="Q111" s="1786"/>
    </row>
    <row r="112" spans="1:17" ht="14.5"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4.5"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5.453125" style="1647" customWidth="1"/>
    <col min="10" max="15" width="12.26953125" style="1647" customWidth="1"/>
    <col min="16" max="16" width="4.7265625" style="200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6" si="3">D8/F8</f>
        <v>#DIV/0!</v>
      </c>
      <c r="AB8" s="443" t="e">
        <f t="shared" ref="AB8:AB36" si="4">D8/H8</f>
        <v>#DIV/0!</v>
      </c>
      <c r="AC8" s="443" t="e">
        <f t="shared" ref="AC8:AC36" si="5">D8/J8</f>
        <v>#DIV/0!</v>
      </c>
    </row>
    <row r="9" spans="1:29" s="1662" customFormat="1">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48"/>
      <c r="B15" s="2038"/>
      <c r="C15" s="1710"/>
      <c r="D15" s="1711"/>
      <c r="E15" s="1710"/>
      <c r="F15" s="1945"/>
      <c r="G15" s="1710"/>
      <c r="H15" s="1713"/>
      <c r="I15" s="1710"/>
      <c r="J15" s="1711"/>
      <c r="K15" s="1946"/>
      <c r="L15" s="1692"/>
      <c r="M15" s="1645"/>
      <c r="N15" s="1645"/>
      <c r="O15" s="1645"/>
      <c r="P15" s="3049"/>
      <c r="Q15" s="1705"/>
      <c r="R15" s="1706"/>
      <c r="S15" s="1707"/>
      <c r="T15" s="1706"/>
      <c r="U15" s="1707"/>
      <c r="V15" s="1706"/>
      <c r="W15" s="1707"/>
      <c r="X15" s="1646"/>
      <c r="Y15" s="3049"/>
      <c r="Z15" s="1708"/>
      <c r="AA15" s="1708">
        <v>1</v>
      </c>
      <c r="AB15" s="1708">
        <v>1</v>
      </c>
      <c r="AC15" s="1708">
        <v>1</v>
      </c>
    </row>
    <row r="16" spans="1:29" ht="42">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48"/>
      <c r="B17" s="1730"/>
      <c r="C17" s="1721"/>
      <c r="D17" s="1711"/>
      <c r="E17" s="1710"/>
      <c r="F17" s="1945"/>
      <c r="G17" s="1710"/>
      <c r="H17" s="1711"/>
      <c r="I17" s="1710"/>
      <c r="J17" s="1711"/>
      <c r="K17" s="1946"/>
      <c r="L17" s="1692"/>
      <c r="M17" s="1645"/>
      <c r="N17" s="1645"/>
      <c r="O17" s="1645"/>
      <c r="P17" s="3049"/>
      <c r="Q17" s="1705"/>
      <c r="R17" s="1706"/>
      <c r="S17" s="1707"/>
      <c r="T17" s="1706"/>
      <c r="U17" s="1707"/>
      <c r="V17" s="1706"/>
      <c r="W17" s="1707"/>
      <c r="X17" s="1646"/>
      <c r="Y17" s="3049"/>
      <c r="Z17" s="1708"/>
      <c r="AA17" s="1708">
        <v>1</v>
      </c>
      <c r="AB17" s="1708">
        <v>1</v>
      </c>
      <c r="AC17" s="1708">
        <v>1</v>
      </c>
    </row>
    <row r="18" spans="1:29" ht="42">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48"/>
      <c r="B19" s="1982"/>
      <c r="C19" s="1721"/>
      <c r="D19" s="1713"/>
      <c r="E19" s="1721"/>
      <c r="F19" s="1947"/>
      <c r="G19" s="1721"/>
      <c r="H19" s="1711"/>
      <c r="I19" s="1710"/>
      <c r="J19" s="1711"/>
      <c r="K19" s="1949"/>
      <c r="L19" s="1692"/>
      <c r="M19" s="1645"/>
      <c r="N19" s="1645"/>
      <c r="O19" s="1645"/>
      <c r="P19" s="3049"/>
      <c r="Q19" s="1705"/>
      <c r="R19" s="1706"/>
      <c r="S19" s="1707"/>
      <c r="T19" s="1706"/>
      <c r="U19" s="1707"/>
      <c r="V19" s="1706"/>
      <c r="W19" s="1707"/>
      <c r="X19" s="1646"/>
      <c r="Y19" s="3049"/>
      <c r="Z19" s="1708"/>
      <c r="AA19" s="1708">
        <v>1</v>
      </c>
      <c r="AB19" s="1708">
        <v>1</v>
      </c>
      <c r="AC19" s="1708">
        <v>1</v>
      </c>
    </row>
    <row r="20" spans="1:29" ht="56">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48"/>
      <c r="B21" s="1730"/>
      <c r="C21" s="1710"/>
      <c r="D21" s="1711"/>
      <c r="E21" s="1710"/>
      <c r="F21" s="1945"/>
      <c r="G21" s="1710"/>
      <c r="H21" s="1711"/>
      <c r="I21" s="1710"/>
      <c r="J21" s="1711"/>
      <c r="K21" s="1946"/>
      <c r="L21" s="1692"/>
      <c r="M21" s="1645"/>
      <c r="N21" s="1645"/>
      <c r="O21" s="1645"/>
      <c r="P21" s="3049"/>
      <c r="Q21" s="1705"/>
      <c r="R21" s="1706"/>
      <c r="S21" s="1707"/>
      <c r="T21" s="1706"/>
      <c r="U21" s="1707"/>
      <c r="V21" s="1706"/>
      <c r="W21" s="1707"/>
      <c r="X21" s="1646"/>
      <c r="Y21" s="3049"/>
      <c r="Z21" s="1708"/>
      <c r="AA21" s="1708">
        <v>1</v>
      </c>
      <c r="AB21" s="1708">
        <v>1</v>
      </c>
      <c r="AC21" s="1708">
        <v>1</v>
      </c>
    </row>
    <row r="22" spans="1:29" ht="15.5">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49"/>
      <c r="Q24" s="1705">
        <f t="shared" ref="Q24:Q36"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103"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53" t="s">
        <v>1924</v>
      </c>
      <c r="Z26" s="1708" t="str">
        <f t="shared" ref="Z26:Z36" si="15">Q26</f>
        <v>配套类型</v>
      </c>
      <c r="AA26" s="1708">
        <f t="shared" si="3"/>
        <v>1</v>
      </c>
      <c r="AB26" s="1708">
        <f t="shared" si="4"/>
        <v>1</v>
      </c>
      <c r="AC26" s="1708">
        <f t="shared" si="5"/>
        <v>1</v>
      </c>
    </row>
    <row r="27" spans="1:29" s="1746" customFormat="1" ht="15.5">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53"/>
      <c r="Q27" s="1741" t="str">
        <f t="shared" si="11"/>
        <v>项目停车位配比</v>
      </c>
      <c r="R27" s="1742" t="s">
        <v>14</v>
      </c>
      <c r="S27" s="1743">
        <f t="shared" si="12"/>
        <v>100</v>
      </c>
      <c r="T27" s="1742" t="s">
        <v>14</v>
      </c>
      <c r="U27" s="1743">
        <f t="shared" si="13"/>
        <v>100</v>
      </c>
      <c r="V27" s="1742" t="s">
        <v>14</v>
      </c>
      <c r="W27" s="1743">
        <f t="shared" si="14"/>
        <v>100</v>
      </c>
      <c r="X27" s="1744"/>
      <c r="Y27" s="3053"/>
      <c r="Z27" s="1745" t="str">
        <f t="shared" si="15"/>
        <v>项目停车位配比</v>
      </c>
      <c r="AA27" s="1708">
        <f t="shared" si="3"/>
        <v>1</v>
      </c>
      <c r="AB27" s="1708">
        <f t="shared" si="4"/>
        <v>1</v>
      </c>
      <c r="AC27" s="1708">
        <f t="shared" si="5"/>
        <v>1</v>
      </c>
    </row>
    <row r="28" spans="1:29" ht="15.5">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53"/>
      <c r="Q28" s="1705" t="str">
        <f t="shared" si="11"/>
        <v>公共部分装修</v>
      </c>
      <c r="R28" s="1706" t="s">
        <v>14</v>
      </c>
      <c r="S28" s="1707">
        <f t="shared" si="12"/>
        <v>100</v>
      </c>
      <c r="T28" s="1706" t="s">
        <v>14</v>
      </c>
      <c r="U28" s="1707">
        <f t="shared" si="13"/>
        <v>100</v>
      </c>
      <c r="V28" s="1706" t="s">
        <v>14</v>
      </c>
      <c r="W28" s="1707">
        <f t="shared" si="14"/>
        <v>100</v>
      </c>
      <c r="X28" s="1646"/>
      <c r="Y28" s="3053"/>
      <c r="Z28" s="1708" t="str">
        <f t="shared" si="15"/>
        <v>公共部分装修</v>
      </c>
      <c r="AA28" s="1708">
        <f t="shared" si="3"/>
        <v>1</v>
      </c>
      <c r="AB28" s="1708">
        <f t="shared" si="4"/>
        <v>1</v>
      </c>
      <c r="AC28" s="1708">
        <f t="shared" si="5"/>
        <v>1</v>
      </c>
    </row>
    <row r="29" spans="1:29" ht="15.5">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53"/>
      <c r="Q29" s="1705" t="str">
        <f t="shared" si="11"/>
        <v>成新率</v>
      </c>
      <c r="R29" s="1706" t="s">
        <v>14</v>
      </c>
      <c r="S29" s="1707" t="e">
        <f t="shared" si="12"/>
        <v>#N/A</v>
      </c>
      <c r="T29" s="1706" t="s">
        <v>14</v>
      </c>
      <c r="U29" s="1707" t="e">
        <f t="shared" si="13"/>
        <v>#N/A</v>
      </c>
      <c r="V29" s="1706" t="s">
        <v>14</v>
      </c>
      <c r="W29" s="1707" t="e">
        <f t="shared" si="14"/>
        <v>#N/A</v>
      </c>
      <c r="X29" s="1646"/>
      <c r="Y29" s="3053"/>
      <c r="Z29" s="1708" t="str">
        <f t="shared" si="15"/>
        <v>成新率</v>
      </c>
      <c r="AA29" s="1708" t="e">
        <f t="shared" si="3"/>
        <v>#N/A</v>
      </c>
      <c r="AB29" s="1708" t="e">
        <f t="shared" si="4"/>
        <v>#N/A</v>
      </c>
      <c r="AC29" s="1708" t="e">
        <f t="shared" si="5"/>
        <v>#N/A</v>
      </c>
    </row>
    <row r="30" spans="1:29" ht="15.5">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53"/>
      <c r="Q30" s="1705" t="str">
        <f t="shared" si="11"/>
        <v>物业等级</v>
      </c>
      <c r="R30" s="1706" t="s">
        <v>14</v>
      </c>
      <c r="S30" s="1707">
        <f t="shared" si="12"/>
        <v>100</v>
      </c>
      <c r="T30" s="1706" t="s">
        <v>14</v>
      </c>
      <c r="U30" s="1707">
        <f t="shared" si="13"/>
        <v>100</v>
      </c>
      <c r="V30" s="1706" t="s">
        <v>14</v>
      </c>
      <c r="W30" s="1707">
        <f t="shared" si="14"/>
        <v>100</v>
      </c>
      <c r="X30" s="1646"/>
      <c r="Y30" s="3053"/>
      <c r="Z30" s="1708" t="str">
        <f t="shared" si="15"/>
        <v>物业等级</v>
      </c>
      <c r="AA30" s="1708">
        <f t="shared" si="3"/>
        <v>1</v>
      </c>
      <c r="AB30" s="1708">
        <f t="shared" si="4"/>
        <v>1</v>
      </c>
      <c r="AC30" s="1708">
        <f t="shared" si="5"/>
        <v>1</v>
      </c>
    </row>
    <row r="31" spans="1:29" s="1662" customFormat="1" ht="15.5">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53"/>
      <c r="Q31" s="1671" t="str">
        <f t="shared" si="11"/>
        <v>停车位面积</v>
      </c>
      <c r="R31" s="437" t="s">
        <v>14</v>
      </c>
      <c r="S31" s="1660" t="e">
        <f t="shared" si="12"/>
        <v>#N/A</v>
      </c>
      <c r="T31" s="437" t="s">
        <v>14</v>
      </c>
      <c r="U31" s="1660" t="e">
        <f t="shared" si="13"/>
        <v>#N/A</v>
      </c>
      <c r="V31" s="437" t="s">
        <v>14</v>
      </c>
      <c r="W31" s="1660" t="e">
        <f t="shared" si="14"/>
        <v>#N/A</v>
      </c>
      <c r="X31" s="1661"/>
      <c r="Y31" s="3053"/>
      <c r="Z31" s="443" t="str">
        <f t="shared" si="15"/>
        <v>停车位面积</v>
      </c>
      <c r="AA31" s="443" t="e">
        <f t="shared" si="3"/>
        <v>#N/A</v>
      </c>
      <c r="AB31" s="443" t="e">
        <f t="shared" si="4"/>
        <v>#N/A</v>
      </c>
      <c r="AC31" s="443" t="e">
        <f t="shared" si="5"/>
        <v>#N/A</v>
      </c>
    </row>
    <row r="32" spans="1:29" ht="15.5">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53" t="s">
        <v>1924</v>
      </c>
      <c r="Q32" s="1705" t="str">
        <f t="shared" si="11"/>
        <v>车位类型</v>
      </c>
      <c r="R32" s="1706" t="s">
        <v>14</v>
      </c>
      <c r="S32" s="1707">
        <f t="shared" si="12"/>
        <v>100</v>
      </c>
      <c r="T32" s="1706" t="s">
        <v>14</v>
      </c>
      <c r="U32" s="1707">
        <f t="shared" si="13"/>
        <v>100</v>
      </c>
      <c r="V32" s="1706" t="s">
        <v>14</v>
      </c>
      <c r="W32" s="1707">
        <f t="shared" si="14"/>
        <v>100</v>
      </c>
      <c r="X32" s="1646"/>
      <c r="Y32" s="3053" t="s">
        <v>1924</v>
      </c>
      <c r="Z32" s="1708" t="str">
        <f t="shared" si="15"/>
        <v>车位类型</v>
      </c>
      <c r="AA32" s="1708">
        <f t="shared" si="3"/>
        <v>1</v>
      </c>
      <c r="AB32" s="1708">
        <f t="shared" si="4"/>
        <v>1</v>
      </c>
      <c r="AC32" s="1708">
        <f t="shared" si="5"/>
        <v>1</v>
      </c>
    </row>
    <row r="33" spans="1:29" ht="15.5">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53"/>
      <c r="Q33" s="1705" t="str">
        <f t="shared" si="11"/>
        <v>是否直接入户</v>
      </c>
      <c r="R33" s="1706" t="s">
        <v>14</v>
      </c>
      <c r="S33" s="1707">
        <f t="shared" si="12"/>
        <v>100</v>
      </c>
      <c r="T33" s="1706" t="s">
        <v>14</v>
      </c>
      <c r="U33" s="1707">
        <f t="shared" si="13"/>
        <v>100</v>
      </c>
      <c r="V33" s="1706" t="s">
        <v>14</v>
      </c>
      <c r="W33" s="1707">
        <f t="shared" si="14"/>
        <v>100</v>
      </c>
      <c r="X33" s="1646"/>
      <c r="Y33" s="3053"/>
      <c r="Z33" s="1708" t="str">
        <f t="shared" si="15"/>
        <v>是否直接入户</v>
      </c>
      <c r="AA33" s="1708">
        <f t="shared" si="3"/>
        <v>1</v>
      </c>
      <c r="AB33" s="1708">
        <f t="shared" si="4"/>
        <v>1</v>
      </c>
      <c r="AC33" s="1708">
        <f t="shared" si="5"/>
        <v>1</v>
      </c>
    </row>
    <row r="34" spans="1:29" ht="15.5">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29" s="1746" customFormat="1" ht="15.5">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53"/>
      <c r="Q35" s="1741">
        <f t="shared" si="11"/>
        <v>111</v>
      </c>
      <c r="R35" s="1742" t="s">
        <v>14</v>
      </c>
      <c r="S35" s="1743">
        <f t="shared" si="12"/>
        <v>100</v>
      </c>
      <c r="T35" s="1742" t="s">
        <v>14</v>
      </c>
      <c r="U35" s="1743">
        <f t="shared" si="13"/>
        <v>100</v>
      </c>
      <c r="V35" s="1742" t="s">
        <v>14</v>
      </c>
      <c r="W35" s="1743">
        <f t="shared" si="14"/>
        <v>100</v>
      </c>
      <c r="X35" s="1744"/>
      <c r="Y35" s="3053"/>
      <c r="Z35" s="1745">
        <f t="shared" si="15"/>
        <v>111</v>
      </c>
      <c r="AA35" s="1708">
        <f t="shared" si="3"/>
        <v>1</v>
      </c>
      <c r="AB35" s="1708">
        <f t="shared" si="4"/>
        <v>1</v>
      </c>
      <c r="AC35" s="1708">
        <f t="shared" si="5"/>
        <v>1</v>
      </c>
    </row>
    <row r="36" spans="1:29" ht="16"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53"/>
      <c r="Q36" s="1705">
        <f t="shared" si="11"/>
        <v>111</v>
      </c>
      <c r="R36" s="1706" t="s">
        <v>14</v>
      </c>
      <c r="S36" s="1707">
        <f t="shared" si="12"/>
        <v>100</v>
      </c>
      <c r="T36" s="1706" t="s">
        <v>14</v>
      </c>
      <c r="U36" s="1707">
        <f t="shared" si="13"/>
        <v>100</v>
      </c>
      <c r="V36" s="1706" t="s">
        <v>14</v>
      </c>
      <c r="W36" s="1707">
        <f t="shared" si="14"/>
        <v>100</v>
      </c>
      <c r="X36" s="1646"/>
      <c r="Y36" s="3053"/>
      <c r="Z36" s="1708">
        <f t="shared" si="15"/>
        <v>111</v>
      </c>
      <c r="AA36" s="1708">
        <f t="shared" si="3"/>
        <v>1</v>
      </c>
      <c r="AB36" s="1708">
        <f t="shared" si="4"/>
        <v>1</v>
      </c>
      <c r="AC36" s="1708">
        <f t="shared" si="5"/>
        <v>1</v>
      </c>
    </row>
    <row r="37" spans="1:29">
      <c r="A37" s="1751" t="s">
        <v>2079</v>
      </c>
      <c r="B37" s="2048" t="s">
        <v>2080</v>
      </c>
      <c r="C37" s="1753" t="s">
        <v>0</v>
      </c>
      <c r="D37" s="1754"/>
      <c r="E37" s="1755"/>
      <c r="F37" s="1756"/>
      <c r="G37" s="1757"/>
      <c r="H37" s="1758"/>
      <c r="I37" s="1755"/>
      <c r="J37" s="1758"/>
      <c r="K37" s="2049"/>
      <c r="L37" s="1760"/>
      <c r="M37" s="1645"/>
      <c r="N37" s="1645"/>
      <c r="O37" s="1645"/>
      <c r="P37" s="3046" t="str">
        <f>A37</f>
        <v>成交单价</v>
      </c>
      <c r="Q37" s="3046"/>
      <c r="R37" s="3047">
        <f>E37</f>
        <v>0</v>
      </c>
      <c r="S37" s="3047"/>
      <c r="T37" s="3047">
        <f>G37</f>
        <v>0</v>
      </c>
      <c r="U37" s="3047"/>
      <c r="V37" s="3047">
        <f>I37</f>
        <v>0</v>
      </c>
      <c r="W37" s="3047"/>
      <c r="X37" s="1709"/>
      <c r="Y37" s="1761"/>
      <c r="Z37" s="1709"/>
      <c r="AA37" s="1709"/>
      <c r="AB37" s="1709"/>
      <c r="AC37" s="1709"/>
    </row>
    <row r="38" spans="1:29" ht="14.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46" t="str">
        <f>A38</f>
        <v>比较价值（元/平方米）</v>
      </c>
      <c r="Q38" s="3046"/>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1709"/>
      <c r="Y38" s="1709"/>
      <c r="Z38" s="1709"/>
      <c r="AA38" s="1709"/>
      <c r="AB38" s="1709"/>
      <c r="AC38" s="1709"/>
    </row>
    <row r="39" spans="1:29" ht="14.5" thickBot="1">
      <c r="A39" s="1769" t="s">
        <v>2082</v>
      </c>
      <c r="B39" s="1770"/>
      <c r="C39" s="1652" t="e">
        <f>R39</f>
        <v>#DIV/0!</v>
      </c>
      <c r="D39" s="1652"/>
      <c r="E39" s="1652"/>
      <c r="F39" s="1652"/>
      <c r="G39" s="1652"/>
      <c r="H39" s="1652"/>
      <c r="I39" s="1652"/>
      <c r="J39" s="1652"/>
      <c r="K39" s="2050"/>
      <c r="L39" s="1760"/>
      <c r="M39" s="1645"/>
      <c r="N39" s="1645"/>
      <c r="O39" s="1645"/>
      <c r="P39" s="3043" t="str">
        <f>A39</f>
        <v>估价对象XX用房的比较价值（楼面单价，元/平方米）</v>
      </c>
      <c r="Q39" s="3044"/>
      <c r="R39" s="3104" t="e">
        <f>IF(F1="售价",ROUND(IF(D38="简单平均",AVERAGE(R38:W38),R38*F38+T38*H38+V38*J38),0),ROUND(IF(D38="简单平均",AVERAGE(R38:V38),R38*F38+T38*H38+V38*J38),1))</f>
        <v>#DIV/0!</v>
      </c>
      <c r="S39" s="3104"/>
      <c r="T39" s="3104"/>
      <c r="U39" s="3104"/>
      <c r="V39" s="3104"/>
      <c r="W39" s="3104"/>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1.5"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c r="A48" s="1787" t="s">
        <v>2087</v>
      </c>
      <c r="B48" s="1788"/>
      <c r="C48" s="1957" t="str">
        <f>YEAR(C7)&amp;"-"&amp;MONTH(C7)</f>
        <v>2022-10</v>
      </c>
      <c r="D48" s="1790">
        <f>EDATE(C48,-1)</f>
        <v>44805</v>
      </c>
      <c r="E48" s="1790">
        <f t="shared" ref="E48:O48" si="16">EDATE(D48,-1)</f>
        <v>44774</v>
      </c>
      <c r="F48" s="1790">
        <f t="shared" si="16"/>
        <v>44743</v>
      </c>
      <c r="G48" s="1790">
        <f t="shared" si="16"/>
        <v>44713</v>
      </c>
      <c r="H48" s="1790">
        <f t="shared" si="16"/>
        <v>44682</v>
      </c>
      <c r="I48" s="1790">
        <f t="shared" si="16"/>
        <v>44652</v>
      </c>
      <c r="J48" s="1790">
        <f t="shared" si="16"/>
        <v>44621</v>
      </c>
      <c r="K48" s="1790">
        <f t="shared" si="16"/>
        <v>44593</v>
      </c>
      <c r="L48" s="1790">
        <f t="shared" si="16"/>
        <v>44562</v>
      </c>
      <c r="M48" s="1790">
        <f t="shared" si="16"/>
        <v>44531</v>
      </c>
      <c r="N48" s="1790">
        <f t="shared" si="16"/>
        <v>44501</v>
      </c>
      <c r="O48" s="1790">
        <f t="shared" si="16"/>
        <v>44470</v>
      </c>
      <c r="P48" s="1991"/>
      <c r="Q48" s="446"/>
      <c r="R48" s="446"/>
      <c r="S48" s="446"/>
      <c r="T48" s="446"/>
      <c r="U48" s="446"/>
      <c r="V48" s="446"/>
      <c r="W48" s="446"/>
      <c r="X48" s="446"/>
      <c r="Y48" s="446"/>
      <c r="Z48" s="446"/>
      <c r="AA48" s="446"/>
      <c r="AB48" s="446"/>
      <c r="AC48" s="446"/>
    </row>
    <row r="49" spans="1:29" s="1662" customFormat="1">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4.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4.5"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4.5"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28.5"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4.5"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4.5"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4.5"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4.5"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4.5"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4.5"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4.5"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4.5"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4.5"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4.5"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4.5"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4.5"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4.5"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4.5"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4.5"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4.5"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4.5"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4.5"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4.5"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4.5"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4.5"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4.5"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4.5"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28.5"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4.5"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4.5"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4.5"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4.5"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4.5"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4.5"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4.5"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4.5"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4.5"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4.5"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4.5"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4.5"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4.5"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4.5"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4.5"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4.5"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7" customWidth="1"/>
    <col min="2" max="16384" width="9" style="167"/>
  </cols>
  <sheetData>
    <row r="1" spans="1:1" ht="23">
      <c r="A1" s="166" t="s">
        <v>1115</v>
      </c>
    </row>
    <row r="3" spans="1:1" ht="18">
      <c r="A3" s="168" t="str">
        <f>项目基本情况!B5&amp;"："</f>
        <v>：</v>
      </c>
    </row>
    <row r="4" spans="1:1" ht="17.5">
      <c r="A4" s="169" t="str">
        <f>"受贵公司委托，我公司对"&amp;项目基本情况!S1&amp;"进行了预评估。"</f>
        <v>受贵公司委托，我公司对进行了预评估。</v>
      </c>
    </row>
    <row r="5" spans="1:1" ht="18">
      <c r="A5" s="170" t="s">
        <v>1116</v>
      </c>
    </row>
    <row r="6" spans="1:1" ht="17.5">
      <c r="A6" s="171" t="s">
        <v>1117</v>
      </c>
    </row>
    <row r="7" spans="1:1" ht="17.5">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72" t="s">
        <v>1118</v>
      </c>
    </row>
    <row r="9" spans="1:1" ht="17.5">
      <c r="A9" s="171" t="s">
        <v>1119</v>
      </c>
    </row>
    <row r="10" spans="1:1" ht="17.5">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72" t="s">
        <v>1120</v>
      </c>
    </row>
    <row r="12" spans="1:1" ht="18">
      <c r="A12" s="170" t="s">
        <v>1121</v>
      </c>
    </row>
    <row r="13" spans="1:1" ht="38.25" customHeight="1">
      <c r="A13" s="169" t="str">
        <f>IF(项目基本情况!B8="抵押",IF(项目基本情况!B5=项目基本情况!B6,定义!C51,定义!B51),定义!D51)</f>
        <v>为估价委托人了解估价对象房地产市场价值提供参考依据。</v>
      </c>
    </row>
    <row r="14" spans="1:1" ht="18">
      <c r="A14" s="168" t="s">
        <v>1122</v>
      </c>
    </row>
    <row r="15" spans="1:1" ht="17.5">
      <c r="A15" s="173" t="str">
        <f>TEXT(项目基本情况!D3,"yyyy年m月d日;;")&amp;IF(项目基本情况!D3=项目基本情况!B3,"（评估专业人员实地查勘之日）","")</f>
        <v>2022年10月19日（评估专业人员实地查勘之日）</v>
      </c>
    </row>
    <row r="16" spans="1:1" ht="18">
      <c r="A16" s="168" t="s">
        <v>1123</v>
      </c>
    </row>
    <row r="17" spans="1:1" ht="70">
      <c r="A17" s="169" t="s">
        <v>1124</v>
      </c>
    </row>
    <row r="18" spans="1:1" ht="70">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8" t="s">
        <v>1113</v>
      </c>
    </row>
    <row r="24" spans="1:1" ht="17.5">
      <c r="A24" s="174" t="str">
        <f>"本次评估采用的主估价方法为"&amp;结果表!K4&amp;"和"&amp;结果表!L4&amp;"。"</f>
        <v>本次评估采用的主估价方法为基准地价系数修正法和基准地价系数修正法。</v>
      </c>
    </row>
    <row r="25" spans="1:1" ht="17.5">
      <c r="A25" s="174"/>
    </row>
    <row r="26" spans="1:1" ht="17.5">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4" si="3">D8/F8</f>
        <v>#DIV/0!</v>
      </c>
      <c r="AB8" s="443" t="e">
        <f t="shared" ref="AB8:AB34" si="4">D8/H8</f>
        <v>#DIV/0!</v>
      </c>
      <c r="AC8" s="443" t="e">
        <f t="shared" ref="AC8:AC34" si="5">D8/J8</f>
        <v>#DIV/0!</v>
      </c>
    </row>
    <row r="9" spans="1:29" s="1662" customFormat="1">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81"/>
      <c r="B15" s="1709"/>
      <c r="C15" s="1710"/>
      <c r="D15" s="1711"/>
      <c r="E15" s="1710"/>
      <c r="F15" s="1945"/>
      <c r="G15" s="1710"/>
      <c r="H15" s="1713"/>
      <c r="I15" s="1710"/>
      <c r="J15" s="1711"/>
      <c r="K15" s="1946"/>
      <c r="L15" s="1692"/>
      <c r="M15" s="1645"/>
      <c r="N15" s="1645"/>
      <c r="O15" s="2056"/>
      <c r="P15" s="3049"/>
      <c r="Q15" s="1705"/>
      <c r="R15" s="1706"/>
      <c r="S15" s="1707"/>
      <c r="T15" s="1706"/>
      <c r="U15" s="1707"/>
      <c r="V15" s="1706"/>
      <c r="W15" s="1707"/>
      <c r="X15" s="1646"/>
      <c r="Y15" s="3049"/>
      <c r="Z15" s="1708"/>
      <c r="AA15" s="1708">
        <v>1</v>
      </c>
      <c r="AB15" s="1708">
        <v>1</v>
      </c>
      <c r="AC15" s="1708">
        <v>1</v>
      </c>
    </row>
    <row r="16" spans="1:29" ht="42">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81"/>
      <c r="B17" s="1720"/>
      <c r="C17" s="1721"/>
      <c r="D17" s="1711"/>
      <c r="E17" s="1710"/>
      <c r="F17" s="1945"/>
      <c r="G17" s="1710"/>
      <c r="H17" s="1711"/>
      <c r="I17" s="1710"/>
      <c r="J17" s="1711"/>
      <c r="K17" s="1946"/>
      <c r="L17" s="1692"/>
      <c r="M17" s="1645"/>
      <c r="N17" s="1645"/>
      <c r="O17" s="2056"/>
      <c r="P17" s="3049"/>
      <c r="Q17" s="1705"/>
      <c r="R17" s="1706"/>
      <c r="S17" s="1707"/>
      <c r="T17" s="1706"/>
      <c r="U17" s="1707"/>
      <c r="V17" s="1706"/>
      <c r="W17" s="1707"/>
      <c r="X17" s="1646"/>
      <c r="Y17" s="3049"/>
      <c r="Z17" s="1708"/>
      <c r="AA17" s="1708">
        <v>1</v>
      </c>
      <c r="AB17" s="1708">
        <v>1</v>
      </c>
      <c r="AC17" s="1708">
        <v>1</v>
      </c>
    </row>
    <row r="18" spans="1:29" ht="42">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81"/>
      <c r="B19" s="1725"/>
      <c r="C19" s="1721"/>
      <c r="D19" s="1713"/>
      <c r="E19" s="1721"/>
      <c r="F19" s="1947"/>
      <c r="G19" s="1721"/>
      <c r="H19" s="1711"/>
      <c r="I19" s="1710"/>
      <c r="J19" s="1711"/>
      <c r="K19" s="1949"/>
      <c r="L19" s="1692"/>
      <c r="M19" s="1645"/>
      <c r="N19" s="1645"/>
      <c r="O19" s="2056"/>
      <c r="P19" s="3049"/>
      <c r="Q19" s="1705"/>
      <c r="R19" s="1706"/>
      <c r="S19" s="1707"/>
      <c r="T19" s="1706"/>
      <c r="U19" s="1707"/>
      <c r="V19" s="1706"/>
      <c r="W19" s="1707"/>
      <c r="X19" s="1646"/>
      <c r="Y19" s="3049"/>
      <c r="Z19" s="1708"/>
      <c r="AA19" s="1708">
        <v>1</v>
      </c>
      <c r="AB19" s="1708">
        <v>1</v>
      </c>
      <c r="AC19" s="1708">
        <v>1</v>
      </c>
    </row>
    <row r="20" spans="1:29" ht="56">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81"/>
      <c r="B21" s="1720"/>
      <c r="C21" s="1710"/>
      <c r="D21" s="1711"/>
      <c r="E21" s="1710"/>
      <c r="F21" s="1945"/>
      <c r="G21" s="1710"/>
      <c r="H21" s="1711"/>
      <c r="I21" s="1710"/>
      <c r="J21" s="1711"/>
      <c r="K21" s="1946"/>
      <c r="L21" s="1692"/>
      <c r="M21" s="1645"/>
      <c r="N21" s="1645"/>
      <c r="O21" s="2056"/>
      <c r="P21" s="3049"/>
      <c r="Q21" s="1705"/>
      <c r="R21" s="1706"/>
      <c r="S21" s="1707"/>
      <c r="T21" s="1706"/>
      <c r="U21" s="1707"/>
      <c r="V21" s="1706"/>
      <c r="W21" s="1707"/>
      <c r="X21" s="1646"/>
      <c r="Y21" s="3049"/>
      <c r="Z21" s="1708"/>
      <c r="AA21" s="1708">
        <v>1</v>
      </c>
      <c r="AB21" s="1708">
        <v>1</v>
      </c>
      <c r="AC21" s="1708">
        <v>1</v>
      </c>
    </row>
    <row r="22" spans="1:29" ht="15.5">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49"/>
      <c r="Q24" s="1705">
        <f t="shared" ref="Q24:Q34"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103"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53" t="s">
        <v>1924</v>
      </c>
      <c r="Z26" s="1708" t="str">
        <f t="shared" ref="Z26:Z34" si="15">Q26</f>
        <v>公共部分装修</v>
      </c>
      <c r="AA26" s="1708">
        <f t="shared" si="3"/>
        <v>1</v>
      </c>
      <c r="AB26" s="1708">
        <f t="shared" si="4"/>
        <v>1</v>
      </c>
      <c r="AC26" s="1708">
        <f t="shared" si="5"/>
        <v>1</v>
      </c>
    </row>
    <row r="27" spans="1:29" s="1746" customFormat="1" ht="15.5">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53"/>
      <c r="Q27" s="1741" t="str">
        <f t="shared" si="11"/>
        <v>成新率</v>
      </c>
      <c r="R27" s="1742" t="s">
        <v>14</v>
      </c>
      <c r="S27" s="1743" t="e">
        <f t="shared" si="12"/>
        <v>#N/A</v>
      </c>
      <c r="T27" s="1742" t="s">
        <v>14</v>
      </c>
      <c r="U27" s="1743" t="e">
        <f t="shared" si="13"/>
        <v>#N/A</v>
      </c>
      <c r="V27" s="1742" t="s">
        <v>14</v>
      </c>
      <c r="W27" s="1743" t="e">
        <f t="shared" si="14"/>
        <v>#N/A</v>
      </c>
      <c r="X27" s="1744"/>
      <c r="Y27" s="3053"/>
      <c r="Z27" s="1745" t="str">
        <f t="shared" si="15"/>
        <v>成新率</v>
      </c>
      <c r="AA27" s="1708" t="e">
        <f t="shared" si="3"/>
        <v>#N/A</v>
      </c>
      <c r="AB27" s="1708" t="e">
        <f t="shared" si="4"/>
        <v>#N/A</v>
      </c>
      <c r="AC27" s="1708" t="e">
        <f t="shared" si="5"/>
        <v>#N/A</v>
      </c>
    </row>
    <row r="28" spans="1:29" ht="15.5">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53"/>
      <c r="Q28" s="1705" t="str">
        <f t="shared" si="11"/>
        <v>物业等级</v>
      </c>
      <c r="R28" s="1706" t="s">
        <v>14</v>
      </c>
      <c r="S28" s="1707">
        <f t="shared" si="12"/>
        <v>100</v>
      </c>
      <c r="T28" s="1706" t="s">
        <v>14</v>
      </c>
      <c r="U28" s="1707">
        <f t="shared" si="13"/>
        <v>100</v>
      </c>
      <c r="V28" s="1706" t="s">
        <v>14</v>
      </c>
      <c r="W28" s="1707">
        <f t="shared" si="14"/>
        <v>100</v>
      </c>
      <c r="X28" s="1646"/>
      <c r="Y28" s="3053"/>
      <c r="Z28" s="1708" t="str">
        <f t="shared" si="15"/>
        <v>物业等级</v>
      </c>
      <c r="AA28" s="1708">
        <f t="shared" si="3"/>
        <v>1</v>
      </c>
      <c r="AB28" s="1708">
        <f t="shared" si="4"/>
        <v>1</v>
      </c>
      <c r="AC28" s="1708">
        <f t="shared" si="5"/>
        <v>1</v>
      </c>
    </row>
    <row r="29" spans="1:29" ht="15.5">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53"/>
      <c r="Q29" s="1705" t="str">
        <f t="shared" si="11"/>
        <v>有无电梯</v>
      </c>
      <c r="R29" s="1706" t="s">
        <v>14</v>
      </c>
      <c r="S29" s="1707">
        <f t="shared" si="12"/>
        <v>100</v>
      </c>
      <c r="T29" s="1706" t="s">
        <v>14</v>
      </c>
      <c r="U29" s="1707">
        <f t="shared" si="13"/>
        <v>100</v>
      </c>
      <c r="V29" s="1706" t="s">
        <v>14</v>
      </c>
      <c r="W29" s="1707">
        <f t="shared" si="14"/>
        <v>100</v>
      </c>
      <c r="X29" s="1646"/>
      <c r="Y29" s="3053"/>
      <c r="Z29" s="1708" t="str">
        <f t="shared" si="15"/>
        <v>有无电梯</v>
      </c>
      <c r="AA29" s="1708">
        <f t="shared" si="3"/>
        <v>1</v>
      </c>
      <c r="AB29" s="1708">
        <f t="shared" si="4"/>
        <v>1</v>
      </c>
      <c r="AC29" s="1708">
        <f t="shared" si="5"/>
        <v>1</v>
      </c>
    </row>
    <row r="30" spans="1:29" ht="15.5">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53"/>
      <c r="Q30" s="1705" t="str">
        <f t="shared" si="11"/>
        <v>建筑面积</v>
      </c>
      <c r="R30" s="1706" t="s">
        <v>14</v>
      </c>
      <c r="S30" s="1707" t="e">
        <f t="shared" si="12"/>
        <v>#N/A</v>
      </c>
      <c r="T30" s="1706" t="s">
        <v>14</v>
      </c>
      <c r="U30" s="1707" t="e">
        <f t="shared" si="13"/>
        <v>#N/A</v>
      </c>
      <c r="V30" s="1706" t="s">
        <v>14</v>
      </c>
      <c r="W30" s="1707" t="e">
        <f t="shared" si="14"/>
        <v>#N/A</v>
      </c>
      <c r="X30" s="1646"/>
      <c r="Y30" s="3053"/>
      <c r="Z30" s="1708" t="str">
        <f t="shared" si="15"/>
        <v>建筑面积</v>
      </c>
      <c r="AA30" s="1708" t="e">
        <f t="shared" si="3"/>
        <v>#N/A</v>
      </c>
      <c r="AB30" s="1708" t="e">
        <f t="shared" si="4"/>
        <v>#N/A</v>
      </c>
      <c r="AC30" s="1708" t="e">
        <f t="shared" si="5"/>
        <v>#N/A</v>
      </c>
    </row>
    <row r="31" spans="1:29" s="1662" customFormat="1" ht="15.5">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53"/>
      <c r="Q31" s="1671" t="str">
        <f t="shared" si="11"/>
        <v>是否封闭</v>
      </c>
      <c r="R31" s="437" t="s">
        <v>14</v>
      </c>
      <c r="S31" s="1660">
        <f t="shared" si="12"/>
        <v>100</v>
      </c>
      <c r="T31" s="437" t="s">
        <v>14</v>
      </c>
      <c r="U31" s="1660">
        <f t="shared" si="13"/>
        <v>100</v>
      </c>
      <c r="V31" s="437" t="s">
        <v>14</v>
      </c>
      <c r="W31" s="1660">
        <f t="shared" si="14"/>
        <v>100</v>
      </c>
      <c r="X31" s="1661"/>
      <c r="Y31" s="3053"/>
      <c r="Z31" s="443" t="str">
        <f t="shared" si="15"/>
        <v>是否封闭</v>
      </c>
      <c r="AA31" s="443">
        <f t="shared" si="3"/>
        <v>1</v>
      </c>
      <c r="AB31" s="443">
        <f t="shared" si="4"/>
        <v>1</v>
      </c>
      <c r="AC31" s="443">
        <f t="shared" si="5"/>
        <v>1</v>
      </c>
    </row>
    <row r="32" spans="1:29" ht="15.5">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53" t="s">
        <v>1924</v>
      </c>
      <c r="Q32" s="1705">
        <f t="shared" si="11"/>
        <v>111</v>
      </c>
      <c r="R32" s="1706" t="s">
        <v>14</v>
      </c>
      <c r="S32" s="1707">
        <f t="shared" si="12"/>
        <v>100</v>
      </c>
      <c r="T32" s="1706" t="s">
        <v>14</v>
      </c>
      <c r="U32" s="1707">
        <f t="shared" si="13"/>
        <v>100</v>
      </c>
      <c r="V32" s="1706" t="s">
        <v>14</v>
      </c>
      <c r="W32" s="1707">
        <f t="shared" si="14"/>
        <v>100</v>
      </c>
      <c r="X32" s="1646"/>
      <c r="Y32" s="3053" t="s">
        <v>1924</v>
      </c>
      <c r="Z32" s="1708">
        <f t="shared" si="15"/>
        <v>111</v>
      </c>
      <c r="AA32" s="1708">
        <f t="shared" si="3"/>
        <v>1</v>
      </c>
      <c r="AB32" s="1708">
        <f t="shared" si="4"/>
        <v>1</v>
      </c>
      <c r="AC32" s="1708">
        <f t="shared" si="5"/>
        <v>1</v>
      </c>
    </row>
    <row r="33" spans="1:30" ht="15.5">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53"/>
      <c r="Q33" s="1705">
        <f t="shared" si="11"/>
        <v>111</v>
      </c>
      <c r="R33" s="1706" t="s">
        <v>14</v>
      </c>
      <c r="S33" s="1707">
        <f t="shared" si="12"/>
        <v>100</v>
      </c>
      <c r="T33" s="1706" t="s">
        <v>14</v>
      </c>
      <c r="U33" s="1707">
        <f t="shared" si="13"/>
        <v>100</v>
      </c>
      <c r="V33" s="1706" t="s">
        <v>14</v>
      </c>
      <c r="W33" s="1707">
        <f t="shared" si="14"/>
        <v>100</v>
      </c>
      <c r="X33" s="1646"/>
      <c r="Y33" s="3053"/>
      <c r="Z33" s="1708">
        <f t="shared" si="15"/>
        <v>111</v>
      </c>
      <c r="AA33" s="1708">
        <f t="shared" si="3"/>
        <v>1</v>
      </c>
      <c r="AB33" s="1708">
        <f t="shared" si="4"/>
        <v>1</v>
      </c>
      <c r="AC33" s="1708">
        <f t="shared" si="5"/>
        <v>1</v>
      </c>
    </row>
    <row r="34" spans="1:30" ht="16"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30">
      <c r="A35" s="1751" t="s">
        <v>1936</v>
      </c>
      <c r="B35" s="1752"/>
      <c r="C35" s="1753" t="s">
        <v>0</v>
      </c>
      <c r="D35" s="1754"/>
      <c r="E35" s="1755"/>
      <c r="F35" s="1756"/>
      <c r="G35" s="1757"/>
      <c r="H35" s="1758"/>
      <c r="I35" s="1755"/>
      <c r="J35" s="1758"/>
      <c r="K35" s="1707"/>
      <c r="L35" s="1760"/>
      <c r="M35" s="1645"/>
      <c r="N35" s="1645"/>
      <c r="O35" s="1645"/>
      <c r="P35" s="3046" t="str">
        <f>A35</f>
        <v>成交单价（元/平方米）</v>
      </c>
      <c r="Q35" s="3046"/>
      <c r="R35" s="3047">
        <f>E35</f>
        <v>0</v>
      </c>
      <c r="S35" s="3047"/>
      <c r="T35" s="3047">
        <f>G35</f>
        <v>0</v>
      </c>
      <c r="U35" s="3047"/>
      <c r="V35" s="3047">
        <f>I35</f>
        <v>0</v>
      </c>
      <c r="W35" s="3047"/>
      <c r="X35" s="1709"/>
      <c r="Y35" s="1761"/>
      <c r="Z35" s="1709"/>
      <c r="AA35" s="1709"/>
      <c r="AB35" s="1709"/>
      <c r="AC35" s="1709"/>
    </row>
    <row r="36" spans="1:30" ht="14.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46" t="str">
        <f>A36</f>
        <v>比较价值（元/平方米）</v>
      </c>
      <c r="Q36" s="3046"/>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1709"/>
      <c r="Y36" s="1709"/>
      <c r="Z36" s="1709"/>
      <c r="AA36" s="1709"/>
      <c r="AB36" s="1709"/>
      <c r="AC36" s="1709"/>
    </row>
    <row r="37" spans="1:30" ht="14.5" thickBot="1">
      <c r="A37" s="1769" t="s">
        <v>2029</v>
      </c>
      <c r="B37" s="1770"/>
      <c r="C37" s="1652" t="e">
        <f>R37</f>
        <v>#DIV/0!</v>
      </c>
      <c r="D37" s="1652"/>
      <c r="E37" s="1652"/>
      <c r="F37" s="1652"/>
      <c r="G37" s="1652"/>
      <c r="H37" s="1652"/>
      <c r="I37" s="1652"/>
      <c r="J37" s="1652"/>
      <c r="K37" s="1705"/>
      <c r="L37" s="1760"/>
      <c r="M37" s="1645"/>
      <c r="N37" s="1645"/>
      <c r="O37" s="1645"/>
      <c r="P37" s="3043" t="str">
        <f>A37</f>
        <v>估价对象XX用房的比较价值（楼面单价，元/平方米）</v>
      </c>
      <c r="Q37" s="3044"/>
      <c r="R37" s="3104" t="e">
        <f>IF(F1="售价",ROUND(IF(D36="简单平均",AVERAGE(R36:W36),R36*F36+T36*H36+V36*J36),0),ROUND(IF(D36="简单平均",AVERAGE(R36:V36),R36*F36+T36*H36+V36*J36),1))</f>
        <v>#DIV/0!</v>
      </c>
      <c r="S37" s="3104"/>
      <c r="T37" s="3104"/>
      <c r="U37" s="3104"/>
      <c r="V37" s="3104"/>
      <c r="W37" s="3104"/>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1.5"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c r="A46" s="1787" t="s">
        <v>1907</v>
      </c>
      <c r="B46" s="1788"/>
      <c r="C46" s="1957" t="str">
        <f>YEAR(C7)&amp;"-"&amp;MONTH(C7)</f>
        <v>2022-10</v>
      </c>
      <c r="D46" s="1790">
        <f>EDATE(C46,-1)</f>
        <v>44805</v>
      </c>
      <c r="E46" s="1790">
        <f t="shared" ref="E46:O46" si="16">EDATE(D46,-1)</f>
        <v>44774</v>
      </c>
      <c r="F46" s="1790">
        <f t="shared" si="16"/>
        <v>44743</v>
      </c>
      <c r="G46" s="1790">
        <f t="shared" si="16"/>
        <v>44713</v>
      </c>
      <c r="H46" s="1790">
        <f t="shared" si="16"/>
        <v>44682</v>
      </c>
      <c r="I46" s="1790">
        <f t="shared" si="16"/>
        <v>44652</v>
      </c>
      <c r="J46" s="1790">
        <f t="shared" si="16"/>
        <v>44621</v>
      </c>
      <c r="K46" s="1790">
        <f t="shared" si="16"/>
        <v>44593</v>
      </c>
      <c r="L46" s="1790">
        <f t="shared" si="16"/>
        <v>44562</v>
      </c>
      <c r="M46" s="1790">
        <f t="shared" si="16"/>
        <v>44531</v>
      </c>
      <c r="N46" s="1790">
        <f t="shared" si="16"/>
        <v>44501</v>
      </c>
      <c r="O46" s="1790">
        <f t="shared" si="16"/>
        <v>44470</v>
      </c>
      <c r="P46" s="446"/>
      <c r="Q46" s="446"/>
      <c r="R46" s="446"/>
      <c r="S46" s="446"/>
      <c r="T46" s="446"/>
      <c r="U46" s="446"/>
      <c r="V46" s="446"/>
      <c r="W46" s="446"/>
      <c r="X46" s="446"/>
      <c r="Y46" s="446"/>
      <c r="Z46" s="446"/>
      <c r="AA46" s="446"/>
      <c r="AB46" s="446"/>
      <c r="AC46" s="446"/>
      <c r="AD46" s="446"/>
    </row>
    <row r="47" spans="1:30" s="1662" customFormat="1">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4.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4.5"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4.5"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28.5"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4.5"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4.5"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4.5"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4.5"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4.5"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4.5"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4.5"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4.5"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4.5"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28.5"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4.5"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4.5"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4.5"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4.5"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4.5"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4.5"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4.5"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4.5"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4.5"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4.5"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4.5"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4.5"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4.5"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4.5"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4.5"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4.5"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4.5"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4.5"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4.5"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4.5"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4.5"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4.5"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4.5"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4.5"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4.5"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4.5"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4.5"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4.5"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4.5"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4.5"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4.5"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4.5"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4"/>
  <cols>
    <col min="1" max="1" width="14.36328125" style="1647" customWidth="1"/>
    <col min="2" max="2" width="15.7265625" style="1647" customWidth="1"/>
    <col min="3" max="3" width="14.36328125" style="1647" customWidth="1"/>
    <col min="4" max="4" width="14.0898437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5" si="3">D8/F8</f>
        <v>#DIV/0!</v>
      </c>
      <c r="AB8" s="443" t="e">
        <f t="shared" ref="AB8:AB45" si="4">D8/H8</f>
        <v>#DIV/0!</v>
      </c>
      <c r="AC8" s="443" t="e">
        <f t="shared" ref="AC8:AC45" si="5">D8/J8</f>
        <v>#DIV/0!</v>
      </c>
    </row>
    <row r="9" spans="1:29" s="1662" customFormat="1">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46"/>
      <c r="Q12" s="1671" t="str">
        <f t="shared" si="6"/>
        <v>配建</v>
      </c>
      <c r="R12" s="437" t="s">
        <v>14</v>
      </c>
      <c r="S12" s="1660">
        <f t="shared" si="0"/>
        <v>100</v>
      </c>
      <c r="T12" s="437" t="s">
        <v>14</v>
      </c>
      <c r="U12" s="1660">
        <f t="shared" si="1"/>
        <v>100</v>
      </c>
      <c r="V12" s="437" t="s">
        <v>14</v>
      </c>
      <c r="W12" s="1660">
        <f t="shared" si="2"/>
        <v>100</v>
      </c>
      <c r="X12" s="1661"/>
      <c r="Y12" s="2926"/>
      <c r="Z12" s="443" t="str">
        <f t="shared" si="7"/>
        <v>配建</v>
      </c>
      <c r="AA12" s="443">
        <f>D12/F12</f>
        <v>1</v>
      </c>
      <c r="AB12" s="443">
        <f>D12/H12</f>
        <v>1</v>
      </c>
      <c r="AC12" s="443">
        <f>D12/J12</f>
        <v>1</v>
      </c>
    </row>
    <row r="13" spans="1:29" ht="15.5">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D13/F13</f>
        <v>1</v>
      </c>
      <c r="AB13" s="443">
        <f>D13/H13</f>
        <v>1</v>
      </c>
      <c r="AC13" s="443">
        <f>D13/J13</f>
        <v>1</v>
      </c>
    </row>
    <row r="14" spans="1:29" ht="16"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D14/F14</f>
        <v>1</v>
      </c>
      <c r="AB14" s="443">
        <f>D14/H14</f>
        <v>1</v>
      </c>
      <c r="AC14" s="443">
        <f>D14/J14</f>
        <v>1</v>
      </c>
    </row>
    <row r="15" spans="1:29" ht="98">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48" t="s">
        <v>1919</v>
      </c>
      <c r="Q15" s="1705" t="str">
        <f t="shared" si="6"/>
        <v>居住社区成熟度</v>
      </c>
      <c r="R15" s="1706" t="s">
        <v>14</v>
      </c>
      <c r="S15" s="1707">
        <f t="shared" si="0"/>
        <v>100</v>
      </c>
      <c r="T15" s="1706" t="s">
        <v>14</v>
      </c>
      <c r="U15" s="1707">
        <f t="shared" si="1"/>
        <v>100</v>
      </c>
      <c r="V15" s="1706" t="s">
        <v>14</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2"/>
      <c r="F16" s="1711"/>
      <c r="G16" s="1712"/>
      <c r="H16" s="1713"/>
      <c r="I16" s="1710"/>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84">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49"/>
      <c r="Q17" s="1705" t="str">
        <f>B17</f>
        <v>商业繁华度</v>
      </c>
      <c r="R17" s="1706" t="s">
        <v>14</v>
      </c>
      <c r="S17" s="1707">
        <f>F17</f>
        <v>100</v>
      </c>
      <c r="T17" s="1706" t="s">
        <v>14</v>
      </c>
      <c r="U17" s="1707">
        <f>H17</f>
        <v>100</v>
      </c>
      <c r="V17" s="1706" t="s">
        <v>14</v>
      </c>
      <c r="W17" s="1707">
        <f>J17</f>
        <v>100</v>
      </c>
      <c r="X17" s="1646"/>
      <c r="Y17" s="3049"/>
      <c r="Z17" s="1708" t="str">
        <f>Q17</f>
        <v>商业繁华度</v>
      </c>
      <c r="AA17" s="1708">
        <f t="shared" si="3"/>
        <v>1</v>
      </c>
      <c r="AB17" s="1708">
        <f t="shared" si="4"/>
        <v>1</v>
      </c>
      <c r="AC17" s="1708">
        <f t="shared" si="5"/>
        <v>1</v>
      </c>
    </row>
    <row r="18" spans="1:29" ht="15.5">
      <c r="A18" s="1681"/>
      <c r="B18" s="1720"/>
      <c r="C18" s="1721"/>
      <c r="D18" s="1713"/>
      <c r="E18" s="1722"/>
      <c r="F18" s="1713"/>
      <c r="G18" s="1722"/>
      <c r="H18" s="1711"/>
      <c r="I18" s="1721"/>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84">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49"/>
      <c r="Q19" s="1705" t="str">
        <f>B19</f>
        <v>办公集聚程度</v>
      </c>
      <c r="R19" s="1706" t="s">
        <v>14</v>
      </c>
      <c r="S19" s="1707">
        <f>F19</f>
        <v>100</v>
      </c>
      <c r="T19" s="1706" t="s">
        <v>14</v>
      </c>
      <c r="U19" s="1707">
        <f>H19</f>
        <v>100</v>
      </c>
      <c r="V19" s="1706" t="s">
        <v>14</v>
      </c>
      <c r="W19" s="1707">
        <f>J19</f>
        <v>100</v>
      </c>
      <c r="X19" s="1646"/>
      <c r="Y19" s="3049"/>
      <c r="Z19" s="1708" t="str">
        <f>Q19</f>
        <v>办公集聚程度</v>
      </c>
      <c r="AA19" s="1708">
        <f t="shared" si="3"/>
        <v>1</v>
      </c>
      <c r="AB19" s="1708">
        <f t="shared" si="4"/>
        <v>1</v>
      </c>
      <c r="AC19" s="1708">
        <f t="shared" si="5"/>
        <v>1</v>
      </c>
    </row>
    <row r="20" spans="1:29" ht="15.5">
      <c r="A20" s="1681"/>
      <c r="B20" s="1720"/>
      <c r="C20" s="1710"/>
      <c r="D20" s="1711"/>
      <c r="E20" s="1712"/>
      <c r="F20" s="1711"/>
      <c r="G20" s="1712"/>
      <c r="H20" s="1711"/>
      <c r="I20" s="1710"/>
      <c r="J20" s="1711"/>
      <c r="K20" s="2075"/>
      <c r="L20" s="1692"/>
      <c r="M20" s="1645"/>
      <c r="N20" s="1645"/>
      <c r="O20" s="2056"/>
      <c r="P20" s="3049"/>
      <c r="Q20" s="1705"/>
      <c r="R20" s="1706"/>
      <c r="S20" s="1707"/>
      <c r="T20" s="1706"/>
      <c r="U20" s="1707"/>
      <c r="V20" s="1706"/>
      <c r="W20" s="1707"/>
      <c r="X20" s="1646"/>
      <c r="Y20" s="3049"/>
      <c r="Z20" s="1708"/>
      <c r="AA20" s="1708">
        <v>1</v>
      </c>
      <c r="AB20" s="1708">
        <v>1</v>
      </c>
      <c r="AC20" s="1708">
        <v>1</v>
      </c>
    </row>
    <row r="21" spans="1:29" ht="98">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49"/>
      <c r="Q21" s="1705" t="str">
        <f>B21</f>
        <v>交通便捷度</v>
      </c>
      <c r="R21" s="1706" t="s">
        <v>14</v>
      </c>
      <c r="S21" s="1707">
        <f>F21</f>
        <v>100</v>
      </c>
      <c r="T21" s="1706" t="s">
        <v>14</v>
      </c>
      <c r="U21" s="1707">
        <f>H21</f>
        <v>100</v>
      </c>
      <c r="V21" s="1706" t="s">
        <v>14</v>
      </c>
      <c r="W21" s="1707">
        <f>J21</f>
        <v>100</v>
      </c>
      <c r="X21" s="1646"/>
      <c r="Y21" s="3049"/>
      <c r="Z21" s="1708" t="str">
        <f>Q21</f>
        <v>交通便捷度</v>
      </c>
      <c r="AA21" s="1708">
        <f t="shared" si="3"/>
        <v>1</v>
      </c>
      <c r="AB21" s="1708">
        <f t="shared" si="4"/>
        <v>1</v>
      </c>
      <c r="AC21" s="1708">
        <f t="shared" si="5"/>
        <v>1</v>
      </c>
    </row>
    <row r="22" spans="1:29" ht="15.5">
      <c r="A22" s="1681"/>
      <c r="B22" s="1725"/>
      <c r="C22" s="1710"/>
      <c r="D22" s="1713"/>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ht="28">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49"/>
      <c r="Q23" s="1705" t="str">
        <f t="shared" ref="Q23:Q37" si="8">B23</f>
        <v>区域土地利用方向</v>
      </c>
      <c r="R23" s="1706" t="s">
        <v>14</v>
      </c>
      <c r="S23" s="1707">
        <f>F23</f>
        <v>100</v>
      </c>
      <c r="T23" s="1706" t="s">
        <v>14</v>
      </c>
      <c r="U23" s="1707">
        <f>H23</f>
        <v>100</v>
      </c>
      <c r="V23" s="1706" t="s">
        <v>14</v>
      </c>
      <c r="W23" s="1707">
        <f>J23</f>
        <v>100</v>
      </c>
      <c r="X23" s="1646"/>
      <c r="Y23" s="3049"/>
      <c r="Z23" s="1708" t="str">
        <f>Q23</f>
        <v>区域土地利用方向</v>
      </c>
      <c r="AA23" s="1708">
        <f t="shared" si="3"/>
        <v>1</v>
      </c>
      <c r="AB23" s="1708">
        <f t="shared" si="4"/>
        <v>1</v>
      </c>
      <c r="AC23" s="1708">
        <f t="shared" si="5"/>
        <v>1</v>
      </c>
    </row>
    <row r="24" spans="1:29" ht="15.5">
      <c r="A24" s="1648"/>
      <c r="B24" s="1720"/>
      <c r="C24" s="1950"/>
      <c r="D24" s="1711"/>
      <c r="E24" s="1712"/>
      <c r="F24" s="1711"/>
      <c r="G24" s="1710"/>
      <c r="H24" s="1711"/>
      <c r="I24" s="1710"/>
      <c r="J24" s="1711"/>
      <c r="K24" s="2079"/>
      <c r="L24" s="1692"/>
      <c r="M24" s="1645"/>
      <c r="N24" s="1645"/>
      <c r="O24" s="2056"/>
      <c r="P24" s="3049"/>
      <c r="Q24" s="1705"/>
      <c r="R24" s="1706"/>
      <c r="S24" s="1707"/>
      <c r="T24" s="1706"/>
      <c r="U24" s="1707"/>
      <c r="V24" s="1706"/>
      <c r="W24" s="1707"/>
      <c r="X24" s="1646"/>
      <c r="Y24" s="3049"/>
      <c r="Z24" s="1708"/>
      <c r="AA24" s="1708"/>
      <c r="AB24" s="1708"/>
      <c r="AC24" s="1708"/>
    </row>
    <row r="25" spans="1:29" ht="56">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49"/>
      <c r="Q25" s="1705" t="str">
        <f t="shared" si="8"/>
        <v>自然及人文环境状况</v>
      </c>
      <c r="R25" s="1706" t="s">
        <v>14</v>
      </c>
      <c r="S25" s="1707">
        <f>F25</f>
        <v>100</v>
      </c>
      <c r="T25" s="1706" t="s">
        <v>14</v>
      </c>
      <c r="U25" s="1707">
        <f>H25</f>
        <v>100</v>
      </c>
      <c r="V25" s="1706" t="s">
        <v>14</v>
      </c>
      <c r="W25" s="1707">
        <f>J25</f>
        <v>100</v>
      </c>
      <c r="X25" s="1646"/>
      <c r="Y25" s="3049"/>
      <c r="Z25" s="1708" t="str">
        <f>Q25</f>
        <v>自然及人文环境状况</v>
      </c>
      <c r="AA25" s="1708">
        <f t="shared" si="3"/>
        <v>1</v>
      </c>
      <c r="AB25" s="1708">
        <f t="shared" si="4"/>
        <v>1</v>
      </c>
      <c r="AC25" s="1708">
        <f t="shared" si="5"/>
        <v>1</v>
      </c>
    </row>
    <row r="26" spans="1:29" ht="15.5">
      <c r="A26" s="1648"/>
      <c r="B26" s="1720"/>
      <c r="C26" s="1710"/>
      <c r="D26" s="1711"/>
      <c r="E26" s="1712"/>
      <c r="F26" s="1711"/>
      <c r="G26" s="1712"/>
      <c r="H26" s="1711"/>
      <c r="I26" s="1710"/>
      <c r="J26" s="1711"/>
      <c r="K26" s="2075"/>
      <c r="L26" s="1692"/>
      <c r="M26" s="1645"/>
      <c r="N26" s="1645"/>
      <c r="O26" s="2056"/>
      <c r="P26" s="3049"/>
      <c r="Q26" s="1705"/>
      <c r="R26" s="1706"/>
      <c r="S26" s="1707"/>
      <c r="T26" s="1706"/>
      <c r="U26" s="1707"/>
      <c r="V26" s="1706"/>
      <c r="W26" s="1707"/>
      <c r="X26" s="1646"/>
      <c r="Y26" s="3049"/>
      <c r="Z26" s="1708"/>
      <c r="AA26" s="1708">
        <v>1</v>
      </c>
      <c r="AB26" s="1708">
        <v>1</v>
      </c>
      <c r="AC26" s="1708">
        <v>1</v>
      </c>
    </row>
    <row r="27" spans="1:29" s="1662" customFormat="1" ht="42">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49"/>
      <c r="Q27" s="1671" t="str">
        <f t="shared" si="8"/>
        <v>公共配套设施</v>
      </c>
      <c r="R27" s="437" t="s">
        <v>14</v>
      </c>
      <c r="S27" s="1660">
        <f>F27</f>
        <v>100</v>
      </c>
      <c r="T27" s="437" t="s">
        <v>14</v>
      </c>
      <c r="U27" s="1660">
        <f>H27</f>
        <v>100</v>
      </c>
      <c r="V27" s="437" t="s">
        <v>14</v>
      </c>
      <c r="W27" s="1660">
        <f>J27</f>
        <v>100</v>
      </c>
      <c r="X27" s="1661"/>
      <c r="Y27" s="3049"/>
      <c r="Z27" s="443" t="str">
        <f>Q27</f>
        <v>公共配套设施</v>
      </c>
      <c r="AA27" s="1708">
        <f>D27/F27</f>
        <v>1</v>
      </c>
      <c r="AB27" s="1708">
        <f>D27/H27</f>
        <v>1</v>
      </c>
      <c r="AC27" s="1708">
        <f>D27/J27</f>
        <v>1</v>
      </c>
    </row>
    <row r="28" spans="1:29" s="1662" customFormat="1" ht="15.5">
      <c r="A28" s="1792"/>
      <c r="B28" s="1720"/>
      <c r="C28" s="2080"/>
      <c r="D28" s="1711"/>
      <c r="E28" s="1712"/>
      <c r="F28" s="1711"/>
      <c r="G28" s="1712"/>
      <c r="H28" s="1711"/>
      <c r="I28" s="1710"/>
      <c r="J28" s="1711"/>
      <c r="K28" s="2075"/>
      <c r="L28" s="1659"/>
      <c r="M28" s="446"/>
      <c r="N28" s="446"/>
      <c r="O28" s="2054"/>
      <c r="P28" s="3049"/>
      <c r="Q28" s="1671"/>
      <c r="R28" s="437"/>
      <c r="S28" s="1660"/>
      <c r="T28" s="437"/>
      <c r="U28" s="1660"/>
      <c r="V28" s="437"/>
      <c r="W28" s="1660"/>
      <c r="X28" s="1661"/>
      <c r="Y28" s="3049"/>
      <c r="Z28" s="443"/>
      <c r="AA28" s="1708">
        <v>1</v>
      </c>
      <c r="AB28" s="1708">
        <v>1</v>
      </c>
      <c r="AC28" s="1708">
        <v>1</v>
      </c>
    </row>
    <row r="29" spans="1:29" s="1662" customFormat="1" ht="42">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49"/>
      <c r="Q29" s="1671" t="str">
        <f t="shared" ref="Q29" si="9">B29</f>
        <v>基础设施水平</v>
      </c>
      <c r="R29" s="437" t="s">
        <v>14</v>
      </c>
      <c r="S29" s="1660">
        <f>F29</f>
        <v>100</v>
      </c>
      <c r="T29" s="437" t="s">
        <v>14</v>
      </c>
      <c r="U29" s="1660">
        <f>H29</f>
        <v>100</v>
      </c>
      <c r="V29" s="437" t="s">
        <v>14</v>
      </c>
      <c r="W29" s="1660">
        <f>J29</f>
        <v>100</v>
      </c>
      <c r="X29" s="1661"/>
      <c r="Y29" s="3049"/>
      <c r="Z29" s="443" t="str">
        <f>Q29</f>
        <v>基础设施水平</v>
      </c>
      <c r="AA29" s="1708">
        <f>D29/F29</f>
        <v>1</v>
      </c>
      <c r="AB29" s="1708">
        <f>D29/H29</f>
        <v>1</v>
      </c>
      <c r="AC29" s="1708">
        <f>D29/J29</f>
        <v>1</v>
      </c>
    </row>
    <row r="30" spans="1:29" s="1662" customFormat="1" ht="15.5">
      <c r="A30" s="1792"/>
      <c r="B30" s="1720"/>
      <c r="C30" s="2080"/>
      <c r="D30" s="1711"/>
      <c r="E30" s="2081"/>
      <c r="F30" s="1711"/>
      <c r="G30" s="2081"/>
      <c r="H30" s="1711"/>
      <c r="I30" s="2081"/>
      <c r="J30" s="1711"/>
      <c r="K30" s="2075"/>
      <c r="L30" s="1659"/>
      <c r="M30" s="446"/>
      <c r="N30" s="446"/>
      <c r="O30" s="2054"/>
      <c r="P30" s="3049"/>
      <c r="Q30" s="1671"/>
      <c r="R30" s="437"/>
      <c r="S30" s="1660"/>
      <c r="T30" s="437"/>
      <c r="U30" s="1660"/>
      <c r="V30" s="437"/>
      <c r="W30" s="1660"/>
      <c r="X30" s="1661"/>
      <c r="Y30" s="3049"/>
      <c r="Z30" s="443"/>
      <c r="AA30" s="1708">
        <v>1</v>
      </c>
      <c r="AB30" s="1708">
        <v>1</v>
      </c>
      <c r="AC30" s="1708">
        <v>1</v>
      </c>
    </row>
    <row r="31" spans="1:29" ht="15.5">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49"/>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49"/>
      <c r="Z31" s="1708" t="str">
        <f t="shared" ref="Z31:Z45" si="13">Q31</f>
        <v>临街状况</v>
      </c>
      <c r="AA31" s="1708">
        <f t="shared" si="3"/>
        <v>1</v>
      </c>
      <c r="AB31" s="1708">
        <f t="shared" si="4"/>
        <v>1</v>
      </c>
      <c r="AC31" s="1708">
        <f t="shared" si="5"/>
        <v>1</v>
      </c>
    </row>
    <row r="32" spans="1:29" ht="28">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49"/>
      <c r="Q32" s="1705" t="str">
        <f t="shared" si="8"/>
        <v>毗邻道路的类型与等级</v>
      </c>
      <c r="R32" s="1706" t="s">
        <v>14</v>
      </c>
      <c r="S32" s="1707">
        <f t="shared" si="10"/>
        <v>100</v>
      </c>
      <c r="T32" s="1706" t="s">
        <v>14</v>
      </c>
      <c r="U32" s="1707">
        <f t="shared" si="11"/>
        <v>100</v>
      </c>
      <c r="V32" s="1706" t="s">
        <v>14</v>
      </c>
      <c r="W32" s="1707">
        <f t="shared" si="12"/>
        <v>100</v>
      </c>
      <c r="X32" s="1646"/>
      <c r="Y32" s="3049"/>
      <c r="Z32" s="1708" t="str">
        <f t="shared" si="13"/>
        <v>毗邻道路的类型与等级</v>
      </c>
      <c r="AA32" s="1708">
        <f t="shared" si="3"/>
        <v>1</v>
      </c>
      <c r="AB32" s="1708">
        <f t="shared" si="4"/>
        <v>1</v>
      </c>
      <c r="AC32" s="1708">
        <f t="shared" si="5"/>
        <v>1</v>
      </c>
    </row>
    <row r="33" spans="1:29" ht="15.5">
      <c r="A33" s="1681"/>
      <c r="B33" s="1720"/>
      <c r="C33" s="1710"/>
      <c r="D33" s="1711"/>
      <c r="E33" s="1712"/>
      <c r="F33" s="1711"/>
      <c r="G33" s="1712"/>
      <c r="H33" s="1711"/>
      <c r="I33" s="1710"/>
      <c r="J33" s="1711"/>
      <c r="K33" s="1942"/>
      <c r="L33" s="1692"/>
      <c r="M33" s="1645"/>
      <c r="N33" s="1645"/>
      <c r="O33" s="2056"/>
      <c r="P33" s="3049"/>
      <c r="Q33" s="1705"/>
      <c r="R33" s="1706"/>
      <c r="S33" s="1707"/>
      <c r="T33" s="1706"/>
      <c r="U33" s="1707"/>
      <c r="V33" s="1706"/>
      <c r="W33" s="1707"/>
      <c r="X33" s="1646"/>
      <c r="Y33" s="3049"/>
      <c r="Z33" s="1708"/>
      <c r="AA33" s="1708">
        <v>1</v>
      </c>
      <c r="AB33" s="1708">
        <v>1</v>
      </c>
      <c r="AC33" s="1708">
        <v>1</v>
      </c>
    </row>
    <row r="34" spans="1:29" ht="15.5">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49"/>
      <c r="Q34" s="1705" t="str">
        <f t="shared" si="8"/>
        <v>土地级别</v>
      </c>
      <c r="R34" s="1706" t="s">
        <v>14</v>
      </c>
      <c r="S34" s="1707">
        <f t="shared" si="10"/>
        <v>100</v>
      </c>
      <c r="T34" s="1706" t="s">
        <v>14</v>
      </c>
      <c r="U34" s="1707">
        <f t="shared" si="11"/>
        <v>100</v>
      </c>
      <c r="V34" s="1706" t="s">
        <v>14</v>
      </c>
      <c r="W34" s="1707">
        <f t="shared" si="12"/>
        <v>100</v>
      </c>
      <c r="X34" s="1646"/>
      <c r="Y34" s="3049"/>
      <c r="Z34" s="1708" t="str">
        <f t="shared" si="13"/>
        <v>土地级别</v>
      </c>
      <c r="AA34" s="1708">
        <f t="shared" si="3"/>
        <v>1</v>
      </c>
      <c r="AB34" s="1708">
        <f t="shared" si="4"/>
        <v>1</v>
      </c>
      <c r="AC34" s="1708">
        <f t="shared" si="5"/>
        <v>1</v>
      </c>
    </row>
    <row r="35" spans="1:29" ht="15.5">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49"/>
      <c r="Q35" s="1705">
        <f t="shared" si="8"/>
        <v>111</v>
      </c>
      <c r="R35" s="1706" t="s">
        <v>14</v>
      </c>
      <c r="S35" s="1707">
        <f t="shared" si="10"/>
        <v>100</v>
      </c>
      <c r="T35" s="1706" t="s">
        <v>14</v>
      </c>
      <c r="U35" s="1707">
        <f t="shared" si="11"/>
        <v>100</v>
      </c>
      <c r="V35" s="1706" t="s">
        <v>14</v>
      </c>
      <c r="W35" s="1707">
        <f t="shared" si="12"/>
        <v>100</v>
      </c>
      <c r="X35" s="1646"/>
      <c r="Y35" s="3049"/>
      <c r="Z35" s="1708">
        <f t="shared" si="13"/>
        <v>111</v>
      </c>
      <c r="AA35" s="1708">
        <f t="shared" si="3"/>
        <v>1</v>
      </c>
      <c r="AB35" s="1708">
        <f t="shared" si="4"/>
        <v>1</v>
      </c>
      <c r="AC35" s="1708">
        <f t="shared" si="5"/>
        <v>1</v>
      </c>
    </row>
    <row r="36" spans="1:29" ht="15.5">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103" t="s">
        <v>1924</v>
      </c>
      <c r="Q36" s="1705">
        <f t="shared" si="8"/>
        <v>111</v>
      </c>
      <c r="R36" s="1706" t="s">
        <v>14</v>
      </c>
      <c r="S36" s="1707">
        <f t="shared" si="10"/>
        <v>100</v>
      </c>
      <c r="T36" s="1706" t="s">
        <v>14</v>
      </c>
      <c r="U36" s="1707">
        <f t="shared" si="11"/>
        <v>100</v>
      </c>
      <c r="V36" s="1706" t="s">
        <v>14</v>
      </c>
      <c r="W36" s="1707">
        <f t="shared" si="12"/>
        <v>100</v>
      </c>
      <c r="X36" s="1646"/>
      <c r="Y36" s="3053" t="s">
        <v>1924</v>
      </c>
      <c r="Z36" s="1708">
        <f t="shared" si="13"/>
        <v>111</v>
      </c>
      <c r="AA36" s="1708">
        <f t="shared" si="3"/>
        <v>1</v>
      </c>
      <c r="AB36" s="1708">
        <f t="shared" si="4"/>
        <v>1</v>
      </c>
      <c r="AC36" s="1708">
        <f t="shared" si="5"/>
        <v>1</v>
      </c>
    </row>
    <row r="37" spans="1:29" s="1746" customFormat="1" ht="16"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53"/>
      <c r="Q37" s="1705">
        <f t="shared" si="8"/>
        <v>111</v>
      </c>
      <c r="R37" s="1742" t="s">
        <v>14</v>
      </c>
      <c r="S37" s="1743">
        <f t="shared" si="10"/>
        <v>100</v>
      </c>
      <c r="T37" s="1742" t="s">
        <v>14</v>
      </c>
      <c r="U37" s="1743">
        <f t="shared" si="11"/>
        <v>100</v>
      </c>
      <c r="V37" s="1742" t="s">
        <v>14</v>
      </c>
      <c r="W37" s="1743">
        <f t="shared" si="12"/>
        <v>100</v>
      </c>
      <c r="X37" s="1744"/>
      <c r="Y37" s="3053"/>
      <c r="Z37" s="1745">
        <f t="shared" si="13"/>
        <v>111</v>
      </c>
      <c r="AA37" s="1708">
        <f t="shared" si="3"/>
        <v>1</v>
      </c>
      <c r="AB37" s="1708">
        <f t="shared" si="4"/>
        <v>1</v>
      </c>
      <c r="AC37" s="1708">
        <f t="shared" si="5"/>
        <v>1</v>
      </c>
    </row>
    <row r="38" spans="1:29" ht="15.5">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53"/>
      <c r="Q38" s="1705" t="str">
        <f>B38</f>
        <v>宗地面积</v>
      </c>
      <c r="R38" s="1706" t="s">
        <v>14</v>
      </c>
      <c r="S38" s="1707" t="e">
        <f t="shared" si="10"/>
        <v>#N/A</v>
      </c>
      <c r="T38" s="1706" t="s">
        <v>14</v>
      </c>
      <c r="U38" s="1707" t="e">
        <f t="shared" si="11"/>
        <v>#N/A</v>
      </c>
      <c r="V38" s="1706" t="s">
        <v>14</v>
      </c>
      <c r="W38" s="1707" t="e">
        <f t="shared" si="12"/>
        <v>#N/A</v>
      </c>
      <c r="X38" s="1646"/>
      <c r="Y38" s="3053"/>
      <c r="Z38" s="1708" t="str">
        <f t="shared" si="13"/>
        <v>宗地面积</v>
      </c>
      <c r="AA38" s="1708" t="e">
        <f t="shared" si="3"/>
        <v>#N/A</v>
      </c>
      <c r="AB38" s="1708" t="e">
        <f t="shared" si="4"/>
        <v>#N/A</v>
      </c>
      <c r="AC38" s="1708" t="e">
        <f t="shared" si="5"/>
        <v>#N/A</v>
      </c>
    </row>
    <row r="39" spans="1:29" ht="15.5">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53"/>
      <c r="Q39" s="1705" t="str">
        <f t="shared" ref="Q39:Q45" si="14">B39</f>
        <v>宗地形状</v>
      </c>
      <c r="R39" s="1706" t="s">
        <v>14</v>
      </c>
      <c r="S39" s="1707">
        <f t="shared" si="10"/>
        <v>100</v>
      </c>
      <c r="T39" s="1706" t="s">
        <v>14</v>
      </c>
      <c r="U39" s="1707">
        <f t="shared" si="11"/>
        <v>100</v>
      </c>
      <c r="V39" s="1706" t="s">
        <v>14</v>
      </c>
      <c r="W39" s="1707">
        <f t="shared" si="12"/>
        <v>100</v>
      </c>
      <c r="X39" s="1646"/>
      <c r="Y39" s="3053"/>
      <c r="Z39" s="1708" t="str">
        <f t="shared" si="13"/>
        <v>宗地形状</v>
      </c>
      <c r="AA39" s="1708">
        <f t="shared" si="3"/>
        <v>1</v>
      </c>
      <c r="AB39" s="1708">
        <f t="shared" si="4"/>
        <v>1</v>
      </c>
      <c r="AC39" s="1708">
        <f t="shared" si="5"/>
        <v>1</v>
      </c>
    </row>
    <row r="40" spans="1:29" ht="15.5">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53"/>
      <c r="Q40" s="1705" t="str">
        <f t="shared" si="14"/>
        <v>临街宽度及深度</v>
      </c>
      <c r="R40" s="1706" t="s">
        <v>14</v>
      </c>
      <c r="S40" s="1707">
        <f t="shared" si="10"/>
        <v>100</v>
      </c>
      <c r="T40" s="1706" t="s">
        <v>14</v>
      </c>
      <c r="U40" s="1707">
        <f t="shared" si="11"/>
        <v>100</v>
      </c>
      <c r="V40" s="1706" t="s">
        <v>14</v>
      </c>
      <c r="W40" s="1707">
        <f t="shared" si="12"/>
        <v>100</v>
      </c>
      <c r="X40" s="1646"/>
      <c r="Y40" s="3053"/>
      <c r="Z40" s="1708" t="str">
        <f t="shared" si="13"/>
        <v>临街宽度及深度</v>
      </c>
      <c r="AA40" s="1708">
        <f t="shared" si="3"/>
        <v>1</v>
      </c>
      <c r="AB40" s="1708">
        <f t="shared" si="4"/>
        <v>1</v>
      </c>
      <c r="AC40" s="1708">
        <f t="shared" si="5"/>
        <v>1</v>
      </c>
    </row>
    <row r="41" spans="1:29" s="1662" customFormat="1" ht="15.5">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53"/>
      <c r="Q41" s="1705" t="str">
        <f t="shared" si="14"/>
        <v>宗地开发程度</v>
      </c>
      <c r="R41" s="437" t="s">
        <v>14</v>
      </c>
      <c r="S41" s="1660">
        <f t="shared" si="10"/>
        <v>100</v>
      </c>
      <c r="T41" s="437" t="s">
        <v>14</v>
      </c>
      <c r="U41" s="1660">
        <f t="shared" si="11"/>
        <v>100</v>
      </c>
      <c r="V41" s="437" t="s">
        <v>14</v>
      </c>
      <c r="W41" s="1660">
        <f t="shared" si="12"/>
        <v>100</v>
      </c>
      <c r="X41" s="1661"/>
      <c r="Y41" s="3053"/>
      <c r="Z41" s="443" t="str">
        <f t="shared" si="13"/>
        <v>宗地开发程度</v>
      </c>
      <c r="AA41" s="443">
        <f t="shared" si="3"/>
        <v>1</v>
      </c>
      <c r="AB41" s="443">
        <f t="shared" si="4"/>
        <v>1</v>
      </c>
      <c r="AC41" s="443">
        <f t="shared" si="5"/>
        <v>1</v>
      </c>
    </row>
    <row r="42" spans="1:29" ht="15.5">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53" t="s">
        <v>1924</v>
      </c>
      <c r="Q42" s="1705" t="str">
        <f t="shared" si="14"/>
        <v>工程地质条件</v>
      </c>
      <c r="R42" s="1706" t="s">
        <v>14</v>
      </c>
      <c r="S42" s="1707">
        <f t="shared" si="10"/>
        <v>100</v>
      </c>
      <c r="T42" s="1706" t="s">
        <v>14</v>
      </c>
      <c r="U42" s="1707">
        <f t="shared" si="11"/>
        <v>100</v>
      </c>
      <c r="V42" s="1706" t="s">
        <v>14</v>
      </c>
      <c r="W42" s="1707">
        <f t="shared" si="12"/>
        <v>100</v>
      </c>
      <c r="X42" s="1646"/>
      <c r="Y42" s="3053" t="s">
        <v>1924</v>
      </c>
      <c r="Z42" s="1708" t="str">
        <f t="shared" si="13"/>
        <v>工程地质条件</v>
      </c>
      <c r="AA42" s="1708">
        <f t="shared" si="3"/>
        <v>1</v>
      </c>
      <c r="AB42" s="1708">
        <f t="shared" si="4"/>
        <v>1</v>
      </c>
      <c r="AC42" s="1708">
        <f t="shared" si="5"/>
        <v>1</v>
      </c>
    </row>
    <row r="43" spans="1:29" ht="15.5">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53"/>
      <c r="Q43" s="1705">
        <f t="shared" si="14"/>
        <v>111</v>
      </c>
      <c r="R43" s="1706" t="s">
        <v>14</v>
      </c>
      <c r="S43" s="1707">
        <f t="shared" si="10"/>
        <v>100</v>
      </c>
      <c r="T43" s="1706" t="s">
        <v>14</v>
      </c>
      <c r="U43" s="1707">
        <f t="shared" si="11"/>
        <v>100</v>
      </c>
      <c r="V43" s="1706" t="s">
        <v>14</v>
      </c>
      <c r="W43" s="1707">
        <f t="shared" si="12"/>
        <v>100</v>
      </c>
      <c r="X43" s="1646"/>
      <c r="Y43" s="3053"/>
      <c r="Z43" s="1708">
        <f t="shared" si="13"/>
        <v>111</v>
      </c>
      <c r="AA43" s="1708">
        <f t="shared" si="3"/>
        <v>1</v>
      </c>
      <c r="AB43" s="1708">
        <f t="shared" si="4"/>
        <v>1</v>
      </c>
      <c r="AC43" s="1708">
        <f t="shared" si="5"/>
        <v>1</v>
      </c>
    </row>
    <row r="44" spans="1:29" ht="15.5">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53"/>
      <c r="Q44" s="1705">
        <f t="shared" si="14"/>
        <v>111</v>
      </c>
      <c r="R44" s="1706" t="s">
        <v>14</v>
      </c>
      <c r="S44" s="1707">
        <f t="shared" si="10"/>
        <v>100</v>
      </c>
      <c r="T44" s="1706" t="s">
        <v>14</v>
      </c>
      <c r="U44" s="1707">
        <f t="shared" si="11"/>
        <v>100</v>
      </c>
      <c r="V44" s="1706" t="s">
        <v>14</v>
      </c>
      <c r="W44" s="1707">
        <f t="shared" si="12"/>
        <v>100</v>
      </c>
      <c r="X44" s="1646"/>
      <c r="Y44" s="3053"/>
      <c r="Z44" s="1708">
        <f t="shared" si="13"/>
        <v>111</v>
      </c>
      <c r="AA44" s="1708">
        <f t="shared" si="3"/>
        <v>1</v>
      </c>
      <c r="AB44" s="1708">
        <f t="shared" si="4"/>
        <v>1</v>
      </c>
      <c r="AC44" s="1708">
        <f t="shared" si="5"/>
        <v>1</v>
      </c>
    </row>
    <row r="45" spans="1:29" s="1746" customFormat="1" ht="16"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53"/>
      <c r="Q45" s="1705">
        <f t="shared" si="14"/>
        <v>111</v>
      </c>
      <c r="R45" s="1742" t="s">
        <v>14</v>
      </c>
      <c r="S45" s="1743">
        <f t="shared" si="10"/>
        <v>100</v>
      </c>
      <c r="T45" s="1742" t="s">
        <v>14</v>
      </c>
      <c r="U45" s="1743">
        <f t="shared" si="11"/>
        <v>100</v>
      </c>
      <c r="V45" s="1742" t="s">
        <v>14</v>
      </c>
      <c r="W45" s="1743">
        <f t="shared" si="12"/>
        <v>100</v>
      </c>
      <c r="X45" s="1744"/>
      <c r="Y45" s="3053"/>
      <c r="Z45" s="1745">
        <f t="shared" si="13"/>
        <v>111</v>
      </c>
      <c r="AA45" s="1708">
        <f t="shared" si="3"/>
        <v>1</v>
      </c>
      <c r="AB45" s="1708">
        <f t="shared" si="4"/>
        <v>1</v>
      </c>
      <c r="AC45" s="1708">
        <f t="shared" si="5"/>
        <v>1</v>
      </c>
    </row>
    <row r="46" spans="1:29">
      <c r="A46" s="1751" t="s">
        <v>2079</v>
      </c>
      <c r="B46" s="2093" t="s">
        <v>2115</v>
      </c>
      <c r="C46" s="2094" t="s">
        <v>0</v>
      </c>
      <c r="D46" s="1754"/>
      <c r="E46" s="1755"/>
      <c r="F46" s="1756"/>
      <c r="G46" s="1757"/>
      <c r="H46" s="1758"/>
      <c r="I46" s="1755"/>
      <c r="J46" s="1758"/>
      <c r="K46" s="1707"/>
      <c r="L46" s="1760"/>
      <c r="M46" s="1645"/>
      <c r="N46" s="1645"/>
      <c r="O46" s="1645"/>
      <c r="P46" s="3046" t="str">
        <f>A46</f>
        <v>成交单价</v>
      </c>
      <c r="Q46" s="3046"/>
      <c r="R46" s="3047">
        <f>E46</f>
        <v>0</v>
      </c>
      <c r="S46" s="3047"/>
      <c r="T46" s="3047">
        <f>G46</f>
        <v>0</v>
      </c>
      <c r="U46" s="3047"/>
      <c r="V46" s="3047">
        <f>I46</f>
        <v>0</v>
      </c>
      <c r="W46" s="3047"/>
      <c r="X46" s="1709"/>
      <c r="Y46" s="1761"/>
      <c r="Z46" s="1709"/>
      <c r="AA46" s="1709"/>
      <c r="AB46" s="1709"/>
      <c r="AC46" s="1709"/>
    </row>
    <row r="47" spans="1:29" ht="14.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46" t="str">
        <f>A47</f>
        <v>比较价值（元/平方米）</v>
      </c>
      <c r="Q47" s="3046"/>
      <c r="R47" s="3047" t="e">
        <f>ROUND(PRODUCT(R46,AA7:AA45),0)</f>
        <v>#DIV/0!</v>
      </c>
      <c r="S47" s="3047"/>
      <c r="T47" s="3047" t="e">
        <f>ROUND(PRODUCT(T46,AB7:AB45),0)</f>
        <v>#DIV/0!</v>
      </c>
      <c r="U47" s="3047"/>
      <c r="V47" s="3047" t="e">
        <f>ROUND(PRODUCT(V46,AC7:AC45),0)</f>
        <v>#DIV/0!</v>
      </c>
      <c r="W47" s="3047"/>
      <c r="X47" s="1709"/>
      <c r="Y47" s="1709"/>
      <c r="Z47" s="1709"/>
      <c r="AA47" s="1709"/>
      <c r="AB47" s="1709"/>
      <c r="AC47" s="1709"/>
    </row>
    <row r="48" spans="1:29" ht="14.5" thickBot="1">
      <c r="A48" s="1769" t="s">
        <v>2116</v>
      </c>
      <c r="B48" s="1770"/>
      <c r="C48" s="1652" t="e">
        <f>R48</f>
        <v>#DIV/0!</v>
      </c>
      <c r="D48" s="1652"/>
      <c r="E48" s="1652"/>
      <c r="F48" s="1652"/>
      <c r="G48" s="1652"/>
      <c r="H48" s="1652"/>
      <c r="I48" s="1652"/>
      <c r="J48" s="1652"/>
      <c r="K48" s="1705"/>
      <c r="L48" s="1760"/>
      <c r="M48" s="1645"/>
      <c r="N48" s="1645"/>
      <c r="O48" s="1645"/>
      <c r="P48" s="3043" t="str">
        <f>A48</f>
        <v>估价对象XX用房的比较价值（楼面单价，元/平方米）</v>
      </c>
      <c r="Q48" s="3044"/>
      <c r="R48" s="3045" t="e">
        <f>ROUND(IF(D47="简单平均",AVERAGE(R47:W47),R47*F47+T47*H47+V47*J47),0)</f>
        <v>#DIV/0!</v>
      </c>
      <c r="S48" s="3045"/>
      <c r="T48" s="3045"/>
      <c r="U48" s="3045"/>
      <c r="V48" s="3045"/>
      <c r="W48" s="3045"/>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4.5"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61" t="s">
        <v>2123</v>
      </c>
      <c r="H55" s="3105"/>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57"/>
      <c r="H56" s="3046"/>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v>
      </c>
      <c r="D57" s="2111">
        <v>0.25</v>
      </c>
      <c r="E57" s="1084"/>
      <c r="F57" s="1124" t="e">
        <f t="shared" si="15"/>
        <v>#DIV/0!</v>
      </c>
      <c r="G57" s="3106" t="s">
        <v>2128</v>
      </c>
      <c r="H57" s="2112">
        <f>项目基本情况!B37</f>
        <v>0</v>
      </c>
      <c r="I57" s="1160">
        <f>SUMIF(修正!A57:A68,H57,修正!B57:B68)</f>
        <v>0</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v>
      </c>
      <c r="D58" s="2111">
        <v>0.25</v>
      </c>
      <c r="E58" s="1084"/>
      <c r="F58" s="1124" t="e">
        <f t="shared" si="15"/>
        <v>#DIV/0!</v>
      </c>
      <c r="G58" s="3106"/>
      <c r="H58" s="2112">
        <f>项目基本情况!B37</f>
        <v>0</v>
      </c>
      <c r="I58" s="1160">
        <f>SUMIF(修正!A57:A68,H58,修正!C57:C68)</f>
        <v>0</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v>
      </c>
      <c r="D59" s="2111">
        <v>0.25</v>
      </c>
      <c r="E59" s="1084"/>
      <c r="F59" s="1124" t="e">
        <f t="shared" si="15"/>
        <v>#DIV/0!</v>
      </c>
      <c r="G59" s="3106"/>
      <c r="H59" s="2112">
        <f>项目基本情况!B37</f>
        <v>0</v>
      </c>
      <c r="I59" s="1160">
        <f>SUMIF(修正!A57:A68,H59,修正!D57:D68)</f>
        <v>0</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106"/>
      <c r="H60" s="2112">
        <f>项目基本情况!B37</f>
        <v>0</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0.3</v>
      </c>
      <c r="D61" s="2111">
        <v>0.25</v>
      </c>
      <c r="E61" s="1085">
        <f>'数据-汇总表'!E11</f>
        <v>0</v>
      </c>
      <c r="F61" s="1124" t="e">
        <f t="shared" si="15"/>
        <v>#DIV/0!</v>
      </c>
      <c r="G61" s="2114" t="s">
        <v>2133</v>
      </c>
      <c r="H61" s="2112" t="str">
        <f>项目基本情况!C37</f>
        <v>二级</v>
      </c>
      <c r="I61" s="1160">
        <f>SUMIF(修正!A57:A68,H61,修正!E57:E68)</f>
        <v>0.3</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0.3</v>
      </c>
      <c r="D62" s="2111">
        <v>0.25</v>
      </c>
      <c r="E62" s="1085">
        <f>'数据-汇总表'!E12</f>
        <v>0</v>
      </c>
      <c r="F62" s="1124" t="e">
        <f t="shared" si="15"/>
        <v>#DIV/0!</v>
      </c>
      <c r="G62" s="2115" t="s">
        <v>2135</v>
      </c>
      <c r="H62" s="2112" t="str">
        <f>IF(G62="商业",项目基本情况!B37,IF(G62="办公",项目基本情况!C37,IF(G62="住宅",项目基本情况!D37,项目基本情况!E37)))</f>
        <v>二级</v>
      </c>
      <c r="I62" s="1160">
        <f>SUMIF(修正!A57:A68,H62,修正!F57:F68)</f>
        <v>0.3</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v>
      </c>
      <c r="D64" s="2111">
        <v>0.25</v>
      </c>
      <c r="E64" s="1085">
        <f>'数据-汇总表'!E14</f>
        <v>0</v>
      </c>
      <c r="F64" s="1124" t="e">
        <f t="shared" si="15"/>
        <v>#DIV/0!</v>
      </c>
      <c r="G64" s="2114" t="s">
        <v>2128</v>
      </c>
      <c r="H64" s="2112">
        <f>项目基本情况!B37</f>
        <v>0</v>
      </c>
      <c r="I64" s="1160">
        <f>SUMIF(修正!A57:A68,H64,修正!G57:G68)</f>
        <v>0</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4.5" thickBot="1">
      <c r="A65" s="2109" t="s">
        <v>2139</v>
      </c>
      <c r="B65" s="1085" t="e">
        <f t="shared" si="17"/>
        <v>#DIV/0!</v>
      </c>
      <c r="C65" s="2110">
        <f t="shared" si="16"/>
        <v>0.2</v>
      </c>
      <c r="D65" s="2111">
        <v>0.25</v>
      </c>
      <c r="E65" s="1085">
        <f>'数据-汇总表'!E15</f>
        <v>0</v>
      </c>
      <c r="F65" s="1124" t="e">
        <f t="shared" si="15"/>
        <v>#DIV/0!</v>
      </c>
      <c r="G65" s="2116" t="s">
        <v>2133</v>
      </c>
      <c r="H65" s="2117" t="str">
        <f>项目基本情况!C37</f>
        <v>二级</v>
      </c>
      <c r="I65" s="2118">
        <f>SUMIF(修正!A57:A68,H65,修正!G57:G68)</f>
        <v>0.2</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2022-10-1</v>
      </c>
      <c r="D68" s="1709">
        <f>EDATE(C68,-3)</f>
        <v>44743</v>
      </c>
      <c r="E68" s="1709">
        <f>EDATE(D68,-3)</f>
        <v>44652</v>
      </c>
      <c r="F68" s="1709">
        <f t="shared" ref="F68:O68" si="18">EDATE(E68,-3)</f>
        <v>44562</v>
      </c>
      <c r="G68" s="1709">
        <f t="shared" si="18"/>
        <v>44470</v>
      </c>
      <c r="H68" s="1709">
        <f t="shared" si="18"/>
        <v>44378</v>
      </c>
      <c r="I68" s="1709">
        <f t="shared" si="18"/>
        <v>44287</v>
      </c>
      <c r="J68" s="1709">
        <f t="shared" si="18"/>
        <v>44197</v>
      </c>
      <c r="K68" s="1709">
        <f t="shared" si="18"/>
        <v>44105</v>
      </c>
      <c r="L68" s="1709">
        <f t="shared" si="18"/>
        <v>44013</v>
      </c>
      <c r="M68" s="1709">
        <f t="shared" si="18"/>
        <v>43922</v>
      </c>
      <c r="N68" s="1709">
        <f t="shared" si="18"/>
        <v>43831</v>
      </c>
      <c r="O68" s="1709">
        <f t="shared" si="18"/>
        <v>43739</v>
      </c>
      <c r="P68" s="1645"/>
      <c r="Q68" s="1645"/>
      <c r="R68" s="1645"/>
      <c r="S68" s="1645"/>
      <c r="T68" s="1645"/>
      <c r="U68" s="1645"/>
      <c r="V68" s="1645"/>
      <c r="W68" s="1645"/>
      <c r="X68" s="1645"/>
      <c r="Y68" s="1645"/>
      <c r="Z68" s="1645"/>
      <c r="AA68" s="1645"/>
      <c r="AB68" s="1645"/>
      <c r="AC68" s="1645"/>
    </row>
    <row r="69" spans="1:29" ht="21.5"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"北京市平均增长率"&amp;TEXT(SUMIF(基准地价修正!N25:N29,A71,基准地价修正!P25:P29),"0.00%")</f>
        <v>北京市平均增长率0.95%</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4.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4.5"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4.5"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28.5"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4.5"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4.5"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4.5"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4.5"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4.5"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4.5"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4.5"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4.5"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4.5"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4.5"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4.5"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4.5"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4.5"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4.5"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4.5"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4.5"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28.5"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4.5"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28.5"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4.5"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4.5"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4.5"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4.5"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4.5"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4.5"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4.5"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28.5"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4.5"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4.5"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4.5"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4.5"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4.5"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4.5"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4.5"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4.5"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4.5"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4.5"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4.5"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4.5"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4.5"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4.5"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4.5"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4.5"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4.5"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4.5"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4.5"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4.5"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4.5"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
  <cols>
    <col min="1" max="1" width="14.36328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107" t="s">
        <v>2156</v>
      </c>
      <c r="D6" s="3108"/>
      <c r="E6" s="3109" t="s">
        <v>2156</v>
      </c>
      <c r="F6" s="3110"/>
      <c r="G6" s="3107" t="s">
        <v>2156</v>
      </c>
      <c r="H6" s="3108"/>
      <c r="I6" s="3107" t="s">
        <v>2156</v>
      </c>
      <c r="J6" s="310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979"/>
      <c r="C16" s="1710"/>
      <c r="D16" s="1711"/>
      <c r="E16" s="1712"/>
      <c r="F16" s="1711"/>
      <c r="G16" s="1712"/>
      <c r="H16" s="1713"/>
      <c r="I16" s="1712"/>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98">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30"/>
      <c r="C18" s="1710"/>
      <c r="D18" s="1711"/>
      <c r="E18" s="1712"/>
      <c r="F18" s="1711"/>
      <c r="G18" s="1712"/>
      <c r="H18" s="1711"/>
      <c r="I18" s="1710"/>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28">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49"/>
      <c r="Q19" s="1705" t="str">
        <f t="shared" ref="Q19:Q33" si="8">B19</f>
        <v>区域土地利用方向</v>
      </c>
      <c r="R19" s="1706" t="s">
        <v>14</v>
      </c>
      <c r="S19" s="1707">
        <f>F19</f>
        <v>100</v>
      </c>
      <c r="T19" s="1706" t="s">
        <v>14</v>
      </c>
      <c r="U19" s="1707">
        <f>H19</f>
        <v>100</v>
      </c>
      <c r="V19" s="1706" t="s">
        <v>14</v>
      </c>
      <c r="W19" s="1707">
        <f>J19</f>
        <v>100</v>
      </c>
      <c r="X19" s="1646"/>
      <c r="Y19" s="3049"/>
      <c r="Z19" s="1708" t="str">
        <f>Q19</f>
        <v>区域土地利用方向</v>
      </c>
      <c r="AA19" s="1708">
        <f t="shared" si="3"/>
        <v>1</v>
      </c>
      <c r="AB19" s="1708">
        <f t="shared" si="4"/>
        <v>1</v>
      </c>
      <c r="AC19" s="1708">
        <f t="shared" si="5"/>
        <v>1</v>
      </c>
    </row>
    <row r="20" spans="1:29" ht="15.5">
      <c r="A20" s="1648"/>
      <c r="B20" s="1730"/>
      <c r="C20" s="1710"/>
      <c r="D20" s="1711"/>
      <c r="E20" s="1712"/>
      <c r="F20" s="1711"/>
      <c r="G20" s="1712"/>
      <c r="H20" s="1711"/>
      <c r="I20" s="1712"/>
      <c r="J20" s="1711"/>
      <c r="K20" s="2079"/>
      <c r="L20" s="1692"/>
      <c r="M20" s="1645"/>
      <c r="N20" s="1645"/>
      <c r="O20" s="2056"/>
      <c r="P20" s="3049"/>
      <c r="Q20" s="1705"/>
      <c r="R20" s="1706"/>
      <c r="S20" s="1707"/>
      <c r="T20" s="1706"/>
      <c r="U20" s="1707"/>
      <c r="V20" s="1706"/>
      <c r="W20" s="1707"/>
      <c r="X20" s="1646"/>
      <c r="Y20" s="3049"/>
      <c r="Z20" s="1708"/>
      <c r="AA20" s="1708"/>
      <c r="AB20" s="1708"/>
      <c r="AC20" s="1708"/>
    </row>
    <row r="21" spans="1:29" ht="84">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49"/>
      <c r="Q21" s="1705" t="str">
        <f t="shared" si="8"/>
        <v>环境状况</v>
      </c>
      <c r="R21" s="1706" t="s">
        <v>14</v>
      </c>
      <c r="S21" s="1707">
        <f>F21</f>
        <v>100</v>
      </c>
      <c r="T21" s="1706" t="s">
        <v>14</v>
      </c>
      <c r="U21" s="1707">
        <f>H21</f>
        <v>100</v>
      </c>
      <c r="V21" s="1706" t="s">
        <v>14</v>
      </c>
      <c r="W21" s="1707">
        <f>J21</f>
        <v>100</v>
      </c>
      <c r="X21" s="1646"/>
      <c r="Y21" s="3049"/>
      <c r="Z21" s="1708" t="str">
        <f>Q21</f>
        <v>环境状况</v>
      </c>
      <c r="AA21" s="1708">
        <f t="shared" si="3"/>
        <v>1</v>
      </c>
      <c r="AB21" s="1708">
        <f t="shared" si="4"/>
        <v>1</v>
      </c>
      <c r="AC21" s="1708">
        <f t="shared" si="5"/>
        <v>1</v>
      </c>
    </row>
    <row r="22" spans="1:29" ht="15.5">
      <c r="A22" s="1648"/>
      <c r="B22" s="1730"/>
      <c r="C22" s="1710"/>
      <c r="D22" s="1711"/>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s="1662" customFormat="1" ht="42">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49"/>
      <c r="Q23" s="1671" t="str">
        <f t="shared" si="8"/>
        <v>公共配套设施</v>
      </c>
      <c r="R23" s="437" t="s">
        <v>14</v>
      </c>
      <c r="S23" s="1660">
        <f>F23</f>
        <v>100</v>
      </c>
      <c r="T23" s="437" t="s">
        <v>14</v>
      </c>
      <c r="U23" s="1660">
        <f>H23</f>
        <v>100</v>
      </c>
      <c r="V23" s="437" t="s">
        <v>14</v>
      </c>
      <c r="W23" s="1660">
        <f>J23</f>
        <v>100</v>
      </c>
      <c r="X23" s="1661"/>
      <c r="Y23" s="3049"/>
      <c r="Z23" s="443" t="str">
        <f>Q23</f>
        <v>公共配套设施</v>
      </c>
      <c r="AA23" s="1708">
        <f>D23/F23</f>
        <v>1</v>
      </c>
      <c r="AB23" s="1708">
        <f>D23/H23</f>
        <v>1</v>
      </c>
      <c r="AC23" s="1708">
        <f>D23/J23</f>
        <v>1</v>
      </c>
    </row>
    <row r="24" spans="1:29" s="1662" customFormat="1" ht="15.5">
      <c r="A24" s="1792"/>
      <c r="B24" s="1730"/>
      <c r="C24" s="2080"/>
      <c r="D24" s="1711"/>
      <c r="E24" s="1712"/>
      <c r="F24" s="1711"/>
      <c r="G24" s="1712"/>
      <c r="H24" s="1711"/>
      <c r="I24" s="1710"/>
      <c r="J24" s="1711"/>
      <c r="K24" s="2075"/>
      <c r="L24" s="1659"/>
      <c r="M24" s="446"/>
      <c r="N24" s="446"/>
      <c r="O24" s="2054"/>
      <c r="P24" s="3049"/>
      <c r="Q24" s="1671"/>
      <c r="R24" s="437"/>
      <c r="S24" s="1660"/>
      <c r="T24" s="437"/>
      <c r="U24" s="1660"/>
      <c r="V24" s="437"/>
      <c r="W24" s="1660"/>
      <c r="X24" s="1661"/>
      <c r="Y24" s="3049"/>
      <c r="Z24" s="443"/>
      <c r="AA24" s="443">
        <v>1</v>
      </c>
      <c r="AB24" s="443">
        <v>1</v>
      </c>
      <c r="AC24" s="443">
        <v>1</v>
      </c>
    </row>
    <row r="25" spans="1:29" s="1662" customFormat="1" ht="42">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49"/>
      <c r="Q25" s="1671" t="str">
        <f t="shared" ref="Q25" si="9">B25</f>
        <v>基础设施水平</v>
      </c>
      <c r="R25" s="437" t="s">
        <v>14</v>
      </c>
      <c r="S25" s="1660">
        <f>F25</f>
        <v>100</v>
      </c>
      <c r="T25" s="437" t="s">
        <v>14</v>
      </c>
      <c r="U25" s="1660">
        <f>H25</f>
        <v>100</v>
      </c>
      <c r="V25" s="437" t="s">
        <v>14</v>
      </c>
      <c r="W25" s="1660">
        <f>J25</f>
        <v>100</v>
      </c>
      <c r="X25" s="1661"/>
      <c r="Y25" s="3049"/>
      <c r="Z25" s="443" t="str">
        <f>Q25</f>
        <v>基础设施水平</v>
      </c>
      <c r="AA25" s="1708">
        <f>D25/F25</f>
        <v>1</v>
      </c>
      <c r="AB25" s="1708">
        <f>D25/H25</f>
        <v>1</v>
      </c>
      <c r="AC25" s="1708">
        <f>D25/J25</f>
        <v>1</v>
      </c>
    </row>
    <row r="26" spans="1:29" s="1662" customFormat="1" ht="15.5">
      <c r="A26" s="1792"/>
      <c r="B26" s="1730"/>
      <c r="C26" s="2080"/>
      <c r="D26" s="1711"/>
      <c r="E26" s="2081"/>
      <c r="F26" s="1711"/>
      <c r="G26" s="2081"/>
      <c r="H26" s="1711"/>
      <c r="I26" s="2081"/>
      <c r="J26" s="1711"/>
      <c r="K26" s="2075"/>
      <c r="L26" s="1659"/>
      <c r="M26" s="446"/>
      <c r="N26" s="446"/>
      <c r="O26" s="2054"/>
      <c r="P26" s="3049"/>
      <c r="Q26" s="1671"/>
      <c r="R26" s="437"/>
      <c r="S26" s="1660"/>
      <c r="T26" s="437"/>
      <c r="U26" s="1660"/>
      <c r="V26" s="437"/>
      <c r="W26" s="1660"/>
      <c r="X26" s="1661"/>
      <c r="Y26" s="3049"/>
      <c r="Z26" s="443"/>
      <c r="AA26" s="443">
        <v>1</v>
      </c>
      <c r="AB26" s="443">
        <v>1</v>
      </c>
      <c r="AC26" s="443">
        <v>1</v>
      </c>
    </row>
    <row r="27" spans="1:29" ht="15.5">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49"/>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49"/>
      <c r="Z27" s="1708" t="str">
        <f t="shared" ref="Z27:Z40" si="13">Q27</f>
        <v>临街状况</v>
      </c>
      <c r="AA27" s="1708">
        <f t="shared" si="3"/>
        <v>1</v>
      </c>
      <c r="AB27" s="1708">
        <f t="shared" si="4"/>
        <v>1</v>
      </c>
      <c r="AC27" s="1708">
        <f t="shared" si="5"/>
        <v>1</v>
      </c>
    </row>
    <row r="28" spans="1:29" ht="28">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49"/>
      <c r="Q28" s="1705" t="str">
        <f t="shared" si="8"/>
        <v>毗邻道路的类型与等级</v>
      </c>
      <c r="R28" s="1706" t="s">
        <v>14</v>
      </c>
      <c r="S28" s="1707">
        <f t="shared" si="10"/>
        <v>100</v>
      </c>
      <c r="T28" s="1706" t="s">
        <v>14</v>
      </c>
      <c r="U28" s="1707">
        <f t="shared" si="11"/>
        <v>100</v>
      </c>
      <c r="V28" s="1706" t="s">
        <v>14</v>
      </c>
      <c r="W28" s="1707">
        <f t="shared" si="12"/>
        <v>100</v>
      </c>
      <c r="X28" s="1646"/>
      <c r="Y28" s="3049"/>
      <c r="Z28" s="1708" t="str">
        <f t="shared" si="13"/>
        <v>毗邻道路的类型与等级</v>
      </c>
      <c r="AA28" s="1708">
        <f t="shared" si="3"/>
        <v>1</v>
      </c>
      <c r="AB28" s="1708">
        <f t="shared" si="4"/>
        <v>1</v>
      </c>
      <c r="AC28" s="1708">
        <f t="shared" si="5"/>
        <v>1</v>
      </c>
    </row>
    <row r="29" spans="1:29" ht="15.5">
      <c r="A29" s="1681"/>
      <c r="B29" s="1730"/>
      <c r="C29" s="1710"/>
      <c r="D29" s="1711"/>
      <c r="E29" s="1712"/>
      <c r="F29" s="1711"/>
      <c r="G29" s="1712"/>
      <c r="H29" s="1711"/>
      <c r="I29" s="1712"/>
      <c r="J29" s="1711"/>
      <c r="K29" s="1942"/>
      <c r="L29" s="1692"/>
      <c r="M29" s="1645"/>
      <c r="N29" s="1645"/>
      <c r="O29" s="2056"/>
      <c r="P29" s="3049"/>
      <c r="Q29" s="1705"/>
      <c r="R29" s="1706"/>
      <c r="S29" s="1707"/>
      <c r="T29" s="1706"/>
      <c r="U29" s="1707"/>
      <c r="V29" s="1706"/>
      <c r="W29" s="1707"/>
      <c r="X29" s="1646"/>
      <c r="Y29" s="3049"/>
      <c r="Z29" s="1708"/>
      <c r="AA29" s="1708">
        <v>1</v>
      </c>
      <c r="AB29" s="1708">
        <v>1</v>
      </c>
      <c r="AC29" s="1708">
        <v>1</v>
      </c>
    </row>
    <row r="30" spans="1:29" ht="15.5">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49"/>
      <c r="Q30" s="1705" t="str">
        <f t="shared" si="8"/>
        <v>土地级别</v>
      </c>
      <c r="R30" s="1706" t="s">
        <v>14</v>
      </c>
      <c r="S30" s="1707">
        <f t="shared" si="10"/>
        <v>100</v>
      </c>
      <c r="T30" s="1706" t="s">
        <v>14</v>
      </c>
      <c r="U30" s="1707">
        <f t="shared" si="11"/>
        <v>100</v>
      </c>
      <c r="V30" s="1706" t="s">
        <v>14</v>
      </c>
      <c r="W30" s="1707">
        <f t="shared" si="12"/>
        <v>100</v>
      </c>
      <c r="X30" s="1646"/>
      <c r="Y30" s="3049"/>
      <c r="Z30" s="1708" t="str">
        <f t="shared" si="13"/>
        <v>土地级别</v>
      </c>
      <c r="AA30" s="1708">
        <f t="shared" si="3"/>
        <v>1</v>
      </c>
      <c r="AB30" s="1708">
        <f t="shared" si="4"/>
        <v>1</v>
      </c>
      <c r="AC30" s="1708">
        <f t="shared" si="5"/>
        <v>1</v>
      </c>
    </row>
    <row r="31" spans="1:29" ht="15.5">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49"/>
      <c r="Q31" s="1705">
        <f t="shared" si="8"/>
        <v>111</v>
      </c>
      <c r="R31" s="1706" t="s">
        <v>14</v>
      </c>
      <c r="S31" s="1707">
        <f t="shared" si="10"/>
        <v>100</v>
      </c>
      <c r="T31" s="1706" t="s">
        <v>14</v>
      </c>
      <c r="U31" s="1707">
        <f t="shared" si="11"/>
        <v>100</v>
      </c>
      <c r="V31" s="1706" t="s">
        <v>14</v>
      </c>
      <c r="W31" s="1707">
        <f t="shared" si="12"/>
        <v>100</v>
      </c>
      <c r="X31" s="1646"/>
      <c r="Y31" s="3049"/>
      <c r="Z31" s="1708">
        <f t="shared" si="13"/>
        <v>111</v>
      </c>
      <c r="AA31" s="1708">
        <f t="shared" si="3"/>
        <v>1</v>
      </c>
      <c r="AB31" s="1708">
        <f t="shared" si="4"/>
        <v>1</v>
      </c>
      <c r="AC31" s="1708">
        <f t="shared" si="5"/>
        <v>1</v>
      </c>
    </row>
    <row r="32" spans="1:29" ht="15.5">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103" t="s">
        <v>1924</v>
      </c>
      <c r="Q32" s="1705">
        <f t="shared" si="8"/>
        <v>111</v>
      </c>
      <c r="R32" s="1706" t="s">
        <v>14</v>
      </c>
      <c r="S32" s="1707">
        <f t="shared" si="10"/>
        <v>100</v>
      </c>
      <c r="T32" s="1706" t="s">
        <v>14</v>
      </c>
      <c r="U32" s="1707">
        <f t="shared" si="11"/>
        <v>100</v>
      </c>
      <c r="V32" s="1706" t="s">
        <v>14</v>
      </c>
      <c r="W32" s="1707">
        <f t="shared" si="12"/>
        <v>100</v>
      </c>
      <c r="X32" s="1646"/>
      <c r="Y32" s="3053" t="s">
        <v>1924</v>
      </c>
      <c r="Z32" s="1708">
        <f t="shared" si="13"/>
        <v>111</v>
      </c>
      <c r="AA32" s="1708">
        <f t="shared" si="3"/>
        <v>1</v>
      </c>
      <c r="AB32" s="1708">
        <f t="shared" si="4"/>
        <v>1</v>
      </c>
      <c r="AC32" s="1708">
        <f t="shared" si="5"/>
        <v>1</v>
      </c>
    </row>
    <row r="33" spans="1:31" s="1746" customFormat="1" ht="16"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53"/>
      <c r="Q33" s="1705">
        <f t="shared" si="8"/>
        <v>111</v>
      </c>
      <c r="R33" s="1742" t="s">
        <v>14</v>
      </c>
      <c r="S33" s="1743">
        <f t="shared" si="10"/>
        <v>100</v>
      </c>
      <c r="T33" s="1742" t="s">
        <v>14</v>
      </c>
      <c r="U33" s="1743">
        <f t="shared" si="11"/>
        <v>100</v>
      </c>
      <c r="V33" s="1742" t="s">
        <v>14</v>
      </c>
      <c r="W33" s="1743">
        <f t="shared" si="12"/>
        <v>100</v>
      </c>
      <c r="X33" s="1744"/>
      <c r="Y33" s="3053"/>
      <c r="Z33" s="1745">
        <f t="shared" si="13"/>
        <v>111</v>
      </c>
      <c r="AA33" s="1708">
        <f t="shared" si="3"/>
        <v>1</v>
      </c>
      <c r="AB33" s="1708">
        <f t="shared" si="4"/>
        <v>1</v>
      </c>
      <c r="AC33" s="1708">
        <f t="shared" si="5"/>
        <v>1</v>
      </c>
    </row>
    <row r="34" spans="1:31" ht="15.5">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53"/>
      <c r="Q34" s="1705" t="str">
        <f>B34</f>
        <v>宗地面积</v>
      </c>
      <c r="R34" s="1706" t="s">
        <v>14</v>
      </c>
      <c r="S34" s="1707" t="e">
        <f t="shared" si="10"/>
        <v>#N/A</v>
      </c>
      <c r="T34" s="1706" t="s">
        <v>14</v>
      </c>
      <c r="U34" s="1707" t="e">
        <f t="shared" si="11"/>
        <v>#N/A</v>
      </c>
      <c r="V34" s="1706" t="s">
        <v>14</v>
      </c>
      <c r="W34" s="1707" t="e">
        <f t="shared" si="12"/>
        <v>#N/A</v>
      </c>
      <c r="X34" s="1646"/>
      <c r="Y34" s="3053"/>
      <c r="Z34" s="1708" t="str">
        <f t="shared" si="13"/>
        <v>宗地面积</v>
      </c>
      <c r="AA34" s="1708" t="e">
        <f t="shared" si="3"/>
        <v>#N/A</v>
      </c>
      <c r="AB34" s="1708" t="e">
        <f t="shared" si="4"/>
        <v>#N/A</v>
      </c>
      <c r="AC34" s="1708" t="e">
        <f t="shared" si="5"/>
        <v>#N/A</v>
      </c>
    </row>
    <row r="35" spans="1:31" ht="15.5">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53"/>
      <c r="Q35" s="1705" t="str">
        <f t="shared" ref="Q35:Q40" si="14">B35</f>
        <v>宗地形状</v>
      </c>
      <c r="R35" s="1706" t="s">
        <v>14</v>
      </c>
      <c r="S35" s="1707">
        <f t="shared" si="10"/>
        <v>100</v>
      </c>
      <c r="T35" s="1706" t="s">
        <v>14</v>
      </c>
      <c r="U35" s="1707">
        <f t="shared" si="11"/>
        <v>100</v>
      </c>
      <c r="V35" s="1706" t="s">
        <v>14</v>
      </c>
      <c r="W35" s="1707">
        <f t="shared" si="12"/>
        <v>100</v>
      </c>
      <c r="X35" s="1646"/>
      <c r="Y35" s="3053"/>
      <c r="Z35" s="1708" t="str">
        <f t="shared" si="13"/>
        <v>宗地形状</v>
      </c>
      <c r="AA35" s="1708">
        <f t="shared" si="3"/>
        <v>1</v>
      </c>
      <c r="AB35" s="1708">
        <f t="shared" si="4"/>
        <v>1</v>
      </c>
      <c r="AC35" s="1708">
        <f t="shared" si="5"/>
        <v>1</v>
      </c>
    </row>
    <row r="36" spans="1:31" s="1662" customFormat="1" ht="15.5">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53"/>
      <c r="Q36" s="1705" t="str">
        <f t="shared" si="14"/>
        <v>宗地开发程度</v>
      </c>
      <c r="R36" s="437" t="s">
        <v>14</v>
      </c>
      <c r="S36" s="1660">
        <f t="shared" si="10"/>
        <v>100</v>
      </c>
      <c r="T36" s="437" t="s">
        <v>14</v>
      </c>
      <c r="U36" s="1660">
        <f t="shared" si="11"/>
        <v>100</v>
      </c>
      <c r="V36" s="437" t="s">
        <v>14</v>
      </c>
      <c r="W36" s="1660">
        <f t="shared" si="12"/>
        <v>100</v>
      </c>
      <c r="X36" s="1661"/>
      <c r="Y36" s="3053"/>
      <c r="Z36" s="443" t="str">
        <f t="shared" si="13"/>
        <v>宗地开发程度</v>
      </c>
      <c r="AA36" s="443">
        <f t="shared" si="3"/>
        <v>1</v>
      </c>
      <c r="AB36" s="443">
        <f t="shared" si="4"/>
        <v>1</v>
      </c>
      <c r="AC36" s="443">
        <f t="shared" si="5"/>
        <v>1</v>
      </c>
    </row>
    <row r="37" spans="1:31" ht="15.5">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53" t="s">
        <v>1924</v>
      </c>
      <c r="Q37" s="1705" t="str">
        <f t="shared" si="14"/>
        <v>工程地质条件</v>
      </c>
      <c r="R37" s="1706" t="s">
        <v>14</v>
      </c>
      <c r="S37" s="1707">
        <f t="shared" si="10"/>
        <v>100</v>
      </c>
      <c r="T37" s="1706" t="s">
        <v>14</v>
      </c>
      <c r="U37" s="1707">
        <f t="shared" si="11"/>
        <v>100</v>
      </c>
      <c r="V37" s="1706" t="s">
        <v>14</v>
      </c>
      <c r="W37" s="1707">
        <f t="shared" si="12"/>
        <v>100</v>
      </c>
      <c r="X37" s="1646"/>
      <c r="Y37" s="3053" t="s">
        <v>1924</v>
      </c>
      <c r="Z37" s="1708" t="str">
        <f t="shared" si="13"/>
        <v>工程地质条件</v>
      </c>
      <c r="AA37" s="1708">
        <f t="shared" si="3"/>
        <v>1</v>
      </c>
      <c r="AB37" s="1708">
        <f t="shared" si="4"/>
        <v>1</v>
      </c>
      <c r="AC37" s="1708">
        <f t="shared" si="5"/>
        <v>1</v>
      </c>
    </row>
    <row r="38" spans="1:31" ht="15.5">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53"/>
      <c r="Q38" s="1705">
        <f t="shared" si="14"/>
        <v>111</v>
      </c>
      <c r="R38" s="1706" t="s">
        <v>14</v>
      </c>
      <c r="S38" s="1707">
        <f t="shared" si="10"/>
        <v>100</v>
      </c>
      <c r="T38" s="1706" t="s">
        <v>14</v>
      </c>
      <c r="U38" s="1707">
        <f t="shared" si="11"/>
        <v>100</v>
      </c>
      <c r="V38" s="1706" t="s">
        <v>14</v>
      </c>
      <c r="W38" s="1707">
        <f t="shared" si="12"/>
        <v>100</v>
      </c>
      <c r="X38" s="1646"/>
      <c r="Y38" s="3053"/>
      <c r="Z38" s="1708">
        <f t="shared" si="13"/>
        <v>111</v>
      </c>
      <c r="AA38" s="1708">
        <f t="shared" si="3"/>
        <v>1</v>
      </c>
      <c r="AB38" s="1708">
        <f t="shared" si="4"/>
        <v>1</v>
      </c>
      <c r="AC38" s="1708">
        <f t="shared" si="5"/>
        <v>1</v>
      </c>
    </row>
    <row r="39" spans="1:31" ht="15.5">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53"/>
      <c r="Q39" s="1705">
        <f t="shared" si="14"/>
        <v>111</v>
      </c>
      <c r="R39" s="1706" t="s">
        <v>14</v>
      </c>
      <c r="S39" s="1707">
        <f t="shared" si="10"/>
        <v>100</v>
      </c>
      <c r="T39" s="1706" t="s">
        <v>14</v>
      </c>
      <c r="U39" s="1707">
        <f t="shared" si="11"/>
        <v>100</v>
      </c>
      <c r="V39" s="1706" t="s">
        <v>14</v>
      </c>
      <c r="W39" s="1707">
        <f t="shared" si="12"/>
        <v>100</v>
      </c>
      <c r="X39" s="1646"/>
      <c r="Y39" s="3053"/>
      <c r="Z39" s="1708">
        <f t="shared" si="13"/>
        <v>111</v>
      </c>
      <c r="AA39" s="1708">
        <f t="shared" si="3"/>
        <v>1</v>
      </c>
      <c r="AB39" s="1708">
        <f t="shared" si="4"/>
        <v>1</v>
      </c>
      <c r="AC39" s="1708">
        <f t="shared" si="5"/>
        <v>1</v>
      </c>
    </row>
    <row r="40" spans="1:31" s="1746" customFormat="1" ht="16"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53"/>
      <c r="Q40" s="1705">
        <f t="shared" si="14"/>
        <v>111</v>
      </c>
      <c r="R40" s="1742" t="s">
        <v>14</v>
      </c>
      <c r="S40" s="1743">
        <f t="shared" si="10"/>
        <v>100</v>
      </c>
      <c r="T40" s="1742" t="s">
        <v>14</v>
      </c>
      <c r="U40" s="1743">
        <f t="shared" si="11"/>
        <v>100</v>
      </c>
      <c r="V40" s="1742" t="s">
        <v>14</v>
      </c>
      <c r="W40" s="1743">
        <f t="shared" si="12"/>
        <v>100</v>
      </c>
      <c r="X40" s="1744"/>
      <c r="Y40" s="3053"/>
      <c r="Z40" s="1745">
        <f t="shared" si="13"/>
        <v>111</v>
      </c>
      <c r="AA40" s="1708">
        <f t="shared" si="3"/>
        <v>1</v>
      </c>
      <c r="AB40" s="1708">
        <f t="shared" si="4"/>
        <v>1</v>
      </c>
      <c r="AC40" s="1708">
        <f t="shared" si="5"/>
        <v>1</v>
      </c>
    </row>
    <row r="41" spans="1:31">
      <c r="A41" s="1751" t="s">
        <v>2079</v>
      </c>
      <c r="B41" s="2093" t="s">
        <v>2159</v>
      </c>
      <c r="C41" s="2094" t="s">
        <v>0</v>
      </c>
      <c r="D41" s="1754"/>
      <c r="E41" s="1755"/>
      <c r="F41" s="1756"/>
      <c r="G41" s="1757"/>
      <c r="H41" s="1758"/>
      <c r="I41" s="1755"/>
      <c r="J41" s="1758"/>
      <c r="K41" s="1707"/>
      <c r="L41" s="1760"/>
      <c r="M41" s="1645"/>
      <c r="N41" s="1645"/>
      <c r="O41" s="1645"/>
      <c r="P41" s="3046" t="str">
        <f>A41</f>
        <v>成交单价</v>
      </c>
      <c r="Q41" s="3046"/>
      <c r="R41" s="3047">
        <f>E41</f>
        <v>0</v>
      </c>
      <c r="S41" s="3047"/>
      <c r="T41" s="3047">
        <f>G41</f>
        <v>0</v>
      </c>
      <c r="U41" s="3047"/>
      <c r="V41" s="3047">
        <f>I41</f>
        <v>0</v>
      </c>
      <c r="W41" s="3047"/>
      <c r="X41" s="1709"/>
      <c r="Y41" s="1761"/>
      <c r="Z41" s="1709"/>
      <c r="AA41" s="1709"/>
      <c r="AB41" s="1709"/>
      <c r="AC41" s="1709"/>
    </row>
    <row r="42" spans="1:31" ht="14.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46" t="str">
        <f>A42</f>
        <v>比较价值（元/平方米）</v>
      </c>
      <c r="Q42" s="3046"/>
      <c r="R42" s="3047" t="e">
        <f>ROUND(PRODUCT(R41,AA7:AA40),0)</f>
        <v>#DIV/0!</v>
      </c>
      <c r="S42" s="3047"/>
      <c r="T42" s="3047" t="e">
        <f>ROUND(PRODUCT(T41,AB7:AB40),0)</f>
        <v>#DIV/0!</v>
      </c>
      <c r="U42" s="3047"/>
      <c r="V42" s="3047" t="e">
        <f>ROUND(PRODUCT(V41,AC7:AC40),0)</f>
        <v>#DIV/0!</v>
      </c>
      <c r="W42" s="3047"/>
      <c r="X42" s="1709"/>
      <c r="Y42" s="1709"/>
      <c r="Z42" s="1709"/>
      <c r="AA42" s="1709"/>
      <c r="AB42" s="1709"/>
      <c r="AC42" s="1709"/>
    </row>
    <row r="43" spans="1:31" ht="14.5" thickBot="1">
      <c r="A43" s="1769" t="s">
        <v>2029</v>
      </c>
      <c r="B43" s="1770"/>
      <c r="C43" s="1652" t="e">
        <f>R43</f>
        <v>#DIV/0!</v>
      </c>
      <c r="D43" s="1652"/>
      <c r="E43" s="1652"/>
      <c r="F43" s="1652"/>
      <c r="G43" s="1652"/>
      <c r="H43" s="1652"/>
      <c r="I43" s="1652"/>
      <c r="J43" s="1652"/>
      <c r="K43" s="1705"/>
      <c r="L43" s="1760"/>
      <c r="M43" s="1645"/>
      <c r="N43" s="1645"/>
      <c r="O43" s="1645"/>
      <c r="P43" s="3043" t="str">
        <f>A43</f>
        <v>估价对象XX用房的比较价值（楼面单价，元/平方米）</v>
      </c>
      <c r="Q43" s="3044"/>
      <c r="R43" s="3045" t="e">
        <f>ROUND(IF(D42="简单平均",AVERAGE(R42:W42),R42*F42+T42*H42+V42*J42),0)</f>
        <v>#DIV/0!</v>
      </c>
      <c r="S43" s="3045"/>
      <c r="T43" s="3045"/>
      <c r="U43" s="3045"/>
      <c r="V43" s="3045"/>
      <c r="W43" s="3045"/>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4.5"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28">
      <c r="A50" s="2097" t="s">
        <v>2117</v>
      </c>
      <c r="B50" s="2098" t="s">
        <v>2118</v>
      </c>
      <c r="C50" s="2099" t="s">
        <v>2119</v>
      </c>
      <c r="D50" s="2100" t="s">
        <v>2120</v>
      </c>
      <c r="E50" s="2098" t="s">
        <v>2121</v>
      </c>
      <c r="F50" s="2137" t="s">
        <v>2122</v>
      </c>
      <c r="G50" s="3061" t="s">
        <v>2123</v>
      </c>
      <c r="H50" s="3105"/>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57"/>
      <c r="H51" s="3046"/>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v>
      </c>
      <c r="D52" s="2111">
        <v>0.25</v>
      </c>
      <c r="E52" s="1084"/>
      <c r="F52" s="2138" t="e">
        <f t="shared" si="15"/>
        <v>#DIV/0!</v>
      </c>
      <c r="G52" s="3106" t="s">
        <v>2128</v>
      </c>
      <c r="H52" s="2112">
        <f>项目基本情况!B37</f>
        <v>0</v>
      </c>
      <c r="I52" s="1159">
        <f>SUMIF(修正!A57:A68,H52,修正!B57:B68)</f>
        <v>0</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v>
      </c>
      <c r="D53" s="2111">
        <v>0.25</v>
      </c>
      <c r="E53" s="1084"/>
      <c r="F53" s="2138" t="e">
        <f t="shared" si="15"/>
        <v>#DIV/0!</v>
      </c>
      <c r="G53" s="3106"/>
      <c r="H53" s="2112">
        <f>项目基本情况!B37</f>
        <v>0</v>
      </c>
      <c r="I53" s="1159">
        <f>SUMIF(修正!A57:A68,H53,修正!C57:C68)</f>
        <v>0</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v>
      </c>
      <c r="D54" s="2111">
        <v>0.25</v>
      </c>
      <c r="E54" s="1084"/>
      <c r="F54" s="2138" t="e">
        <f t="shared" si="15"/>
        <v>#DIV/0!</v>
      </c>
      <c r="G54" s="3106"/>
      <c r="H54" s="2112">
        <f>项目基本情况!B37</f>
        <v>0</v>
      </c>
      <c r="I54" s="1159">
        <f>SUMIF(修正!A57:A68,H54,修正!D57:D68)</f>
        <v>0</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106"/>
      <c r="H55" s="2112">
        <f>项目基本情况!B37</f>
        <v>0</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0.3</v>
      </c>
      <c r="D56" s="2111">
        <v>0.25</v>
      </c>
      <c r="E56" s="1085">
        <f>'数据-汇总表'!E11</f>
        <v>0</v>
      </c>
      <c r="F56" s="2138" t="e">
        <f t="shared" si="15"/>
        <v>#DIV/0!</v>
      </c>
      <c r="G56" s="2114" t="s">
        <v>2133</v>
      </c>
      <c r="H56" s="2112" t="str">
        <f>项目基本情况!C37</f>
        <v>二级</v>
      </c>
      <c r="I56" s="1159">
        <f>SUMIF(修正!A57:A68,H56,修正!E57:E68)</f>
        <v>0.3</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0.3</v>
      </c>
      <c r="D57" s="2111">
        <v>0.25</v>
      </c>
      <c r="E57" s="1085">
        <f>'数据-汇总表'!E12</f>
        <v>0</v>
      </c>
      <c r="F57" s="2138" t="e">
        <f t="shared" si="15"/>
        <v>#DIV/0!</v>
      </c>
      <c r="G57" s="2115" t="s">
        <v>2135</v>
      </c>
      <c r="H57" s="2112" t="str">
        <f>IF(G57="商业",项目基本情况!B37,IF(G57="办公",项目基本情况!C37,IF(G57="住宅",项目基本情况!D37,项目基本情况!E37)))</f>
        <v>二级</v>
      </c>
      <c r="I57" s="1159">
        <f>SUMIF(修正!A57:A68,H57,修正!F57:F68)</f>
        <v>0.3</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v>
      </c>
      <c r="D59" s="2111">
        <v>0.25</v>
      </c>
      <c r="E59" s="1085">
        <f>'数据-汇总表'!E14</f>
        <v>0</v>
      </c>
      <c r="F59" s="2138" t="e">
        <f t="shared" si="15"/>
        <v>#DIV/0!</v>
      </c>
      <c r="G59" s="2114" t="s">
        <v>2128</v>
      </c>
      <c r="H59" s="2112">
        <f>项目基本情况!B37</f>
        <v>0</v>
      </c>
      <c r="I59" s="1159">
        <f>SUMIF(修正!A57:A68,H59,修正!G57:G68)</f>
        <v>0</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4.5" thickBot="1">
      <c r="A60" s="2109" t="s">
        <v>2139</v>
      </c>
      <c r="B60" s="1085" t="e">
        <f t="shared" si="17"/>
        <v>#DIV/0!</v>
      </c>
      <c r="C60" s="2110">
        <f t="shared" si="16"/>
        <v>0.2</v>
      </c>
      <c r="D60" s="2111">
        <v>0.25</v>
      </c>
      <c r="E60" s="1085">
        <f>'数据-汇总表'!E15</f>
        <v>0</v>
      </c>
      <c r="F60" s="2138" t="e">
        <f t="shared" si="15"/>
        <v>#DIV/0!</v>
      </c>
      <c r="G60" s="2116" t="s">
        <v>2133</v>
      </c>
      <c r="H60" s="2117" t="str">
        <f>项目基本情况!C37</f>
        <v>二级</v>
      </c>
      <c r="I60" s="1159">
        <f>SUMIF(修正!A57:A68,H60,修正!G57:G68)</f>
        <v>0.2</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4.5"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2022-10-1</v>
      </c>
      <c r="D63" s="1709">
        <f>EDATE(C63,-3)</f>
        <v>44743</v>
      </c>
      <c r="E63" s="1709">
        <f>EDATE(D63,-3)</f>
        <v>44652</v>
      </c>
      <c r="F63" s="1709">
        <f t="shared" ref="F63:O63" si="18">EDATE(E63,-3)</f>
        <v>44562</v>
      </c>
      <c r="G63" s="1709">
        <f t="shared" si="18"/>
        <v>44470</v>
      </c>
      <c r="H63" s="1709">
        <f t="shared" si="18"/>
        <v>44378</v>
      </c>
      <c r="I63" s="1709">
        <f t="shared" si="18"/>
        <v>44287</v>
      </c>
      <c r="J63" s="1709">
        <f t="shared" si="18"/>
        <v>44197</v>
      </c>
      <c r="K63" s="1709">
        <f t="shared" si="18"/>
        <v>44105</v>
      </c>
      <c r="L63" s="1709">
        <f t="shared" si="18"/>
        <v>44013</v>
      </c>
      <c r="M63" s="1709">
        <f t="shared" si="18"/>
        <v>43922</v>
      </c>
      <c r="N63" s="1709">
        <f t="shared" si="18"/>
        <v>43831</v>
      </c>
      <c r="O63" s="1709">
        <f t="shared" si="18"/>
        <v>43739</v>
      </c>
      <c r="P63" s="1645"/>
      <c r="Q63" s="1645"/>
      <c r="R63" s="1645"/>
      <c r="S63" s="1645"/>
      <c r="T63" s="1645"/>
      <c r="U63" s="1645"/>
      <c r="V63" s="1645"/>
      <c r="W63" s="1645"/>
      <c r="X63" s="1645"/>
      <c r="Y63" s="1645"/>
      <c r="Z63" s="1645"/>
      <c r="AA63" s="1645"/>
      <c r="AB63" s="1645"/>
      <c r="AC63" s="1645"/>
      <c r="AD63" s="1645"/>
      <c r="AE63" s="1645"/>
    </row>
    <row r="64" spans="1:31" ht="21.5"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"北京市平均增长率"&amp;TEXT(基准地价修正!P28,"0.00%")</f>
        <v>北京市平均增长率0.52%</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4.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4.5"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4.5"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28.5"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4.5"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4.5"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4.5"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4.5"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4.5"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4.5"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4.5"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4.5"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4.5"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4.5"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4.5"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4.5"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28.5"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4.5"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28.5"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4.5"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4.5"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4.5"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4.5"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4.5"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4.5"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4.5"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28.5"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4.5"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4.5"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4.5"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4.5"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4.5"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4.5"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4.5"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4.5"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4.5"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4.5"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4.5"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4.5"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4.5"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4.5"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4.5"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4.5"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4.5"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4.5"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4.5"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4.5"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4.5"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4.5"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J22" zoomScale="85" zoomScaleNormal="80" zoomScaleSheetLayoutView="85" workbookViewId="0">
      <selection activeCell="V36" sqref="V36"/>
    </sheetView>
  </sheetViews>
  <sheetFormatPr defaultColWidth="12" defaultRowHeight="12.5"/>
  <cols>
    <col min="1" max="1" width="9.7265625" style="2150" customWidth="1"/>
    <col min="2" max="2" width="23.90625" style="2150" customWidth="1"/>
    <col min="3" max="4" width="12" style="2150"/>
    <col min="5" max="5" width="14.6328125" style="2150" customWidth="1"/>
    <col min="6" max="6" width="12.7265625" style="2150" customWidth="1"/>
    <col min="7" max="8" width="12" style="2150"/>
    <col min="9" max="9" width="12.26953125" style="2150" bestFit="1" customWidth="1"/>
    <col min="10" max="10" width="12" style="2150"/>
    <col min="11" max="11" width="8.08984375" style="2148" customWidth="1"/>
    <col min="12" max="12" width="16.90625" style="2150" customWidth="1"/>
    <col min="13" max="13" width="8.453125" style="2150" customWidth="1"/>
    <col min="14" max="14" width="9.7265625" style="2150" customWidth="1"/>
    <col min="15" max="25" width="12" style="2150"/>
    <col min="26" max="26" width="9.36328125" style="2150" customWidth="1"/>
    <col min="27" max="32" width="9.36328125" style="2148" customWidth="1"/>
    <col min="33" max="38" width="9.36328125" style="2150" customWidth="1"/>
    <col min="39" max="16384" width="12" style="2150"/>
  </cols>
  <sheetData>
    <row r="1" spans="1:36" ht="30">
      <c r="A1" s="2144" t="s">
        <v>2163</v>
      </c>
      <c r="B1" s="2145"/>
      <c r="C1" s="2146" t="s">
        <v>2164</v>
      </c>
      <c r="D1" s="447">
        <f>SUM(D33:D34,D37:D42)</f>
        <v>5118.4833333333336</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5">
      <c r="A2" s="2146" t="s">
        <v>2171</v>
      </c>
      <c r="B2" s="2154">
        <f>C30</f>
        <v>14436</v>
      </c>
      <c r="C2" s="2155" t="s">
        <v>2172</v>
      </c>
      <c r="D2" s="447" t="s">
        <v>2173</v>
      </c>
      <c r="E2" s="2156" t="s">
        <v>24</v>
      </c>
      <c r="F2" s="447" t="s">
        <v>2174</v>
      </c>
      <c r="G2" s="447" t="str">
        <f>IF(E2="商业",项目基本情况!B37,IF(E2="办公",项目基本情况!C37,IF(E2="住宅",项目基本情况!D37,IF(E2="工业",项目基本情况!E37,项目基本情况!F37))))</f>
        <v>二级</v>
      </c>
      <c r="H2" s="447" t="s">
        <v>2175</v>
      </c>
      <c r="I2" s="447" t="str">
        <f>IF(E2="商业",项目基本情况!B38,IF(E2="办公",项目基本情况!C38,IF(E2="住宅",项目基本情况!D38,IF(E2="工业",项目基本情况!E38,项目基本情况!F38))))</f>
        <v>Ⅱ—12</v>
      </c>
      <c r="J2" s="2147"/>
      <c r="L2" s="1607" t="s">
        <v>2176</v>
      </c>
      <c r="M2" s="449">
        <f>SUMPRODUCT((区片价!B10:B29=I2)*(区片价!C3:G3=E2)*(区片价!C10:G29))</f>
        <v>26730</v>
      </c>
      <c r="N2" s="447">
        <f>SUMPRODUCT((因素修正幅度!B10:B29=I2)*(因素修正幅度!C3:G3=E2)*(因素修正幅度!C10:G29))</f>
        <v>9.0999999999999998E-2</v>
      </c>
      <c r="O2" s="2148"/>
      <c r="P2" s="2148"/>
      <c r="Q2" s="2148"/>
      <c r="R2" s="451">
        <v>1</v>
      </c>
      <c r="S2" s="451">
        <f>ROUND(SUMPRODUCT((B107:B111=R2)*(C106:N106=G2)*(C107:N111)),4)</f>
        <v>1.5206</v>
      </c>
      <c r="T2" s="451">
        <f t="shared" ref="T2:T16" si="0">ROUND($C$5*$C$22*$C$23*$C$24*S2*$C$28,0)</f>
        <v>34307</v>
      </c>
      <c r="U2" s="2157"/>
      <c r="V2" s="451">
        <f>ROUND(T2*U2/10000,0)</f>
        <v>0</v>
      </c>
      <c r="W2" s="2151"/>
      <c r="X2" s="2151"/>
      <c r="Y2" s="2151"/>
      <c r="Z2" s="2151"/>
      <c r="AA2" s="2151"/>
      <c r="AB2" s="2151"/>
      <c r="AC2" s="2151"/>
      <c r="AD2" s="2152"/>
      <c r="AE2" s="2152"/>
      <c r="AF2" s="2152"/>
      <c r="AG2" s="2152"/>
      <c r="AH2" s="2152"/>
      <c r="AI2" s="2152"/>
      <c r="AJ2" s="2153"/>
    </row>
    <row r="3" spans="1:36" ht="15.5">
      <c r="A3" s="2154" t="s">
        <v>2177</v>
      </c>
      <c r="B3" s="2154">
        <f>ROUND(B2*10000/D1,0)</f>
        <v>28204</v>
      </c>
      <c r="C3" s="2155" t="s">
        <v>2178</v>
      </c>
      <c r="D3" s="447" t="s">
        <v>2179</v>
      </c>
      <c r="E3" s="2156" t="s">
        <v>3096</v>
      </c>
      <c r="F3" s="2158" t="s">
        <v>3097</v>
      </c>
      <c r="G3" s="2159">
        <v>1</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1.2072000000000001</v>
      </c>
      <c r="T3" s="451">
        <f t="shared" si="0"/>
        <v>27236</v>
      </c>
      <c r="U3" s="2157"/>
      <c r="V3" s="451">
        <f t="shared" ref="V3:V16" si="1">ROUND(T3*U3/10000,0)</f>
        <v>0</v>
      </c>
      <c r="W3" s="2151"/>
      <c r="X3" s="2151"/>
      <c r="Y3" s="2151"/>
      <c r="Z3" s="2151"/>
      <c r="AA3" s="2151"/>
      <c r="AB3" s="2151"/>
      <c r="AC3" s="2151"/>
      <c r="AD3" s="2152"/>
      <c r="AE3" s="2152"/>
      <c r="AF3" s="2152"/>
      <c r="AG3" s="2152"/>
      <c r="AH3" s="2152"/>
      <c r="AI3" s="2152"/>
      <c r="AJ3" s="2153"/>
    </row>
    <row r="4" spans="1:36" ht="15.5">
      <c r="A4" s="3131"/>
      <c r="B4" s="3132"/>
      <c r="C4" s="3132"/>
      <c r="D4" s="3133"/>
      <c r="E4" s="3133"/>
      <c r="F4" s="3133"/>
      <c r="G4" s="3133"/>
      <c r="H4" s="3133"/>
      <c r="I4" s="3133"/>
      <c r="J4" s="3134"/>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1.0430999999999999</v>
      </c>
      <c r="T4" s="451">
        <f t="shared" si="0"/>
        <v>23534</v>
      </c>
      <c r="U4" s="2157"/>
      <c r="V4" s="451">
        <f t="shared" si="1"/>
        <v>0</v>
      </c>
      <c r="W4" s="2151"/>
      <c r="X4" s="2151"/>
      <c r="Y4" s="2151"/>
      <c r="Z4" s="2151"/>
      <c r="AA4" s="2151"/>
      <c r="AB4" s="2151"/>
      <c r="AC4" s="2151"/>
      <c r="AD4" s="2152"/>
      <c r="AE4" s="2152"/>
      <c r="AF4" s="2152"/>
      <c r="AG4" s="2152"/>
      <c r="AH4" s="2152"/>
      <c r="AI4" s="2152"/>
      <c r="AJ4" s="2153"/>
    </row>
    <row r="5" spans="1:36" s="2170" customFormat="1" ht="16" thickBot="1">
      <c r="A5" s="2160" t="s">
        <v>570</v>
      </c>
      <c r="B5" s="2160" t="s">
        <v>2184</v>
      </c>
      <c r="C5" s="2161">
        <f>ROUND(IF(E2="商业",C6*C7*C17+C20,(IF(E2="住宅",C6*C13*C17+C20,IF(E2="办公",C6*C12*C17+C20,C6+C20)))),0)</f>
        <v>26713</v>
      </c>
      <c r="D5" s="2162">
        <f>ROUND(C6*C17+C20,0)</f>
        <v>26713</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0.94389999999999996</v>
      </c>
      <c r="T5" s="451">
        <f t="shared" si="0"/>
        <v>21296</v>
      </c>
      <c r="U5" s="2157"/>
      <c r="V5" s="451">
        <f t="shared" si="1"/>
        <v>0</v>
      </c>
      <c r="W5" s="2151"/>
      <c r="X5" s="2151"/>
      <c r="Y5" s="2151"/>
      <c r="Z5" s="2151"/>
      <c r="AA5" s="2151"/>
      <c r="AB5" s="2151"/>
      <c r="AC5" s="2167"/>
      <c r="AD5" s="2168"/>
      <c r="AE5" s="2168"/>
      <c r="AF5" s="2168"/>
      <c r="AG5" s="2168"/>
      <c r="AH5" s="2168"/>
      <c r="AI5" s="2168"/>
      <c r="AJ5" s="2169"/>
    </row>
    <row r="6" spans="1:36" ht="16" thickBot="1">
      <c r="A6" s="2171" t="s">
        <v>2186</v>
      </c>
      <c r="B6" s="2172" t="s">
        <v>2187</v>
      </c>
      <c r="C6" s="452">
        <f>SUMIF(L1:L12,G2,M1:M12)</f>
        <v>26730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0.89959999999999996</v>
      </c>
      <c r="T6" s="451">
        <f t="shared" si="0"/>
        <v>20296</v>
      </c>
      <c r="U6" s="2157"/>
      <c r="V6" s="451">
        <f t="shared" si="1"/>
        <v>0</v>
      </c>
      <c r="W6" s="2151"/>
      <c r="X6" s="2151"/>
      <c r="Y6" s="2151"/>
      <c r="Z6" s="2151"/>
      <c r="AA6" s="2151"/>
      <c r="AB6" s="2151"/>
      <c r="AC6" s="2167"/>
      <c r="AD6" s="2168"/>
      <c r="AE6" s="2168"/>
      <c r="AF6" s="2168"/>
      <c r="AG6" s="2168"/>
      <c r="AH6" s="2168"/>
      <c r="AI6" s="2168"/>
      <c r="AJ6" s="2169"/>
    </row>
    <row r="7" spans="1:36" ht="26.5" thickBot="1">
      <c r="A7" s="2176" t="s">
        <v>3070</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0</v>
      </c>
      <c r="N7" s="447">
        <f>SUMPRODUCT((因素修正幅度!B190:B233=I2)*(因素修正幅度!C3:G3=E2)*(因素修正幅度!C190:G233))</f>
        <v>0</v>
      </c>
      <c r="O7" s="2148"/>
      <c r="P7" s="2148"/>
      <c r="Q7" s="2148"/>
      <c r="R7" s="451">
        <v>6</v>
      </c>
      <c r="S7" s="2157"/>
      <c r="T7" s="451">
        <f t="shared" si="0"/>
        <v>0</v>
      </c>
      <c r="U7" s="2157"/>
      <c r="V7" s="451">
        <f t="shared" si="1"/>
        <v>0</v>
      </c>
      <c r="W7" s="2181" t="s">
        <v>2193</v>
      </c>
      <c r="X7" s="472" t="str">
        <f>G2</f>
        <v>二级</v>
      </c>
      <c r="Y7" s="472" t="s">
        <v>2194</v>
      </c>
      <c r="Z7" s="472">
        <f>G3</f>
        <v>1</v>
      </c>
      <c r="AA7" s="2151"/>
      <c r="AB7" s="2151"/>
      <c r="AC7" s="2151"/>
      <c r="AD7" s="2152"/>
      <c r="AE7" s="2152"/>
      <c r="AF7" s="2152"/>
      <c r="AG7" s="2152"/>
      <c r="AH7" s="2152"/>
      <c r="AI7" s="2152"/>
      <c r="AJ7" s="2153"/>
    </row>
    <row r="8" spans="1:36" ht="25">
      <c r="A8" s="2182"/>
      <c r="B8" s="447" t="s">
        <v>2195</v>
      </c>
      <c r="C8" s="2156" t="s">
        <v>3098</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29" t="s">
        <v>2198</v>
      </c>
      <c r="X8" s="3130"/>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30"/>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30"/>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6"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7" thickBot="1">
      <c r="A12" s="2176" t="s">
        <v>2713</v>
      </c>
      <c r="B12" s="2195" t="s">
        <v>3072</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5.5">
      <c r="A13" s="2202" t="s">
        <v>3071</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26">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6"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6">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4">
      <c r="A18" s="2228"/>
      <c r="B18" s="455"/>
      <c r="C18" s="2229"/>
      <c r="D18" s="2230" t="s">
        <v>3077</v>
      </c>
      <c r="E18" s="2231">
        <v>0</v>
      </c>
      <c r="F18" s="455" t="s">
        <v>3078</v>
      </c>
      <c r="G18" s="455">
        <f>ROUND(1-(1/(POWER(1+G24,E18))),4)</f>
        <v>0</v>
      </c>
      <c r="H18" s="455" t="s">
        <v>3079</v>
      </c>
      <c r="I18" s="455">
        <f>ROUND(1-(1/(POWER(1+G24,J24))),4)</f>
        <v>0.93120000000000003</v>
      </c>
      <c r="J18" s="2232"/>
      <c r="K18" s="2148"/>
      <c r="L18" s="2148">
        <f>SUMPRODUCT(('地价-分区'!A22:A30=YEAR(G23)&amp;"-"&amp;ROUNDUP(MONTH(G23)/3,0))*('地价-分区'!S19:W19=E2)*('地价-分区'!S22:W30))</f>
        <v>1.0114000000000001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4.5" thickBot="1">
      <c r="A19" s="2821"/>
      <c r="B19" s="2822"/>
      <c r="C19" s="2823"/>
      <c r="D19" s="2823" t="s">
        <v>3080</v>
      </c>
      <c r="E19" s="2220">
        <v>0</v>
      </c>
      <c r="F19" s="2824" t="s">
        <v>3081</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4">
      <c r="A20" s="2202" t="s">
        <v>3073</v>
      </c>
      <c r="B20" s="961" t="s">
        <v>2233</v>
      </c>
      <c r="C20" s="961">
        <f>ROUND(IF(F21="与级别开发程度一致",0,(G21-E21)/C21),0)</f>
        <v>-17</v>
      </c>
      <c r="D20" s="3135" t="s">
        <v>2237</v>
      </c>
      <c r="E20" s="3136"/>
      <c r="F20" s="3135" t="s">
        <v>2234</v>
      </c>
      <c r="G20" s="3136"/>
      <c r="H20" s="2234" t="s">
        <v>3099</v>
      </c>
      <c r="I20" s="2234" t="s">
        <v>3100</v>
      </c>
      <c r="J20" s="2827" t="s">
        <v>3101</v>
      </c>
      <c r="K20" s="2234" t="s">
        <v>3102</v>
      </c>
      <c r="L20" s="2234" t="s">
        <v>3103</v>
      </c>
      <c r="M20" s="2234" t="s">
        <v>3104</v>
      </c>
      <c r="N20" s="2234" t="s">
        <v>3105</v>
      </c>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5.5" thickBot="1">
      <c r="A21" s="2236"/>
      <c r="B21" s="2237" t="s">
        <v>2236</v>
      </c>
      <c r="C21" s="456">
        <f>IF(E3="M4科研用地",SUMPRODUCT((修正!A2:A7=E3)*(修正!B1:M1=G2)*(修正!B2:M7)),SUMPRODUCT((修正!A2:A7=E2)*(修正!B1:M1=G2)*(修正!B2:M7)))</f>
        <v>3.5</v>
      </c>
      <c r="D21" s="471" t="str">
        <f>IF(OR(G2="八级",G2="九级",G2="十级",G2="十一级",G2="十二级"),"五通一平","七通一平")</f>
        <v>七通一平</v>
      </c>
      <c r="E21" s="458">
        <f>SUMPRODUCT((修正!B1:M1=G2)*(修正!B17:M17))</f>
        <v>375</v>
      </c>
      <c r="F21" s="2238" t="s">
        <v>3091</v>
      </c>
      <c r="G21" s="459">
        <f>SUM(H21:O21)</f>
        <v>315</v>
      </c>
      <c r="H21" s="456">
        <f>SUMPRODUCT((七通一平=H20)*(修正!B1:M1=G2)*(修正!B8:M16))</f>
        <v>80</v>
      </c>
      <c r="I21" s="456">
        <f>SUMPRODUCT((七通一平=I20)*(修正!B1:M1=G2)*(修正!B8:M16))</f>
        <v>70</v>
      </c>
      <c r="J21" s="460">
        <f>SUMPRODUCT((七通一平=J20)*(修正!B1:M1=G2)*(修正!B8:M16))</f>
        <v>20</v>
      </c>
      <c r="K21" s="456">
        <f>SUMPRODUCT((七通一平=K20)*(修正!B1:M1=G2)*(修正!B8:M16))</f>
        <v>30</v>
      </c>
      <c r="L21" s="456">
        <f>SUMPRODUCT((七通一平=L20)*(修正!B1:M1=G2)*(修正!B8:M16))</f>
        <v>45</v>
      </c>
      <c r="M21" s="456">
        <f>SUMPRODUCT((七通一平=M20)*(修正!B1:M1=G2)*(修正!B8:M16))</f>
        <v>50</v>
      </c>
      <c r="N21" s="456">
        <f>SUMPRODUCT((七通一平=N20)*(修正!B1:M1=G2)*(修正!B8:M16))</f>
        <v>20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4.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8.5"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246" t="s">
        <v>2241</v>
      </c>
      <c r="E23" s="2696">
        <v>44197</v>
      </c>
      <c r="F23" s="2246" t="s">
        <v>2242</v>
      </c>
      <c r="G23" s="2695">
        <f>项目基本情况!D3</f>
        <v>44853</v>
      </c>
      <c r="H23" s="2248" t="s">
        <v>3106</v>
      </c>
      <c r="I23" s="2247" t="str">
        <f>IF(H23="季度增幅（自定义）",SUMIF(N25:N28,E2,O25:O28),"")</f>
        <v/>
      </c>
      <c r="J23" s="2820" t="s">
        <v>3107</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6.5" thickBot="1">
      <c r="A24" s="2250" t="s">
        <v>573</v>
      </c>
      <c r="B24" s="2251" t="s">
        <v>2245</v>
      </c>
      <c r="C24" s="2251">
        <f>ROUND(POWER(1+G24,J24-I24)*(POWER(1+G24,I24)-1)/(POWER(1+G24,J24)-1),4)</f>
        <v>0.81510000000000005</v>
      </c>
      <c r="D24" s="2252" t="s">
        <v>2246</v>
      </c>
      <c r="E24" s="2252">
        <f>存贷款利率!E20/100</f>
        <v>4.3499999999999997E-2</v>
      </c>
      <c r="F24" s="2252" t="s">
        <v>2238</v>
      </c>
      <c r="G24" s="2253">
        <f>SUMIF(M30:Q30,E2,M33:Q33)</f>
        <v>5.5E-2</v>
      </c>
      <c r="H24" s="2252" t="s">
        <v>2247</v>
      </c>
      <c r="I24" s="2254">
        <f>项目基本情况!F15</f>
        <v>26.58</v>
      </c>
      <c r="J24" s="468">
        <f>IF(E2="住宅",70,IF(E2="商业",40,50))</f>
        <v>50</v>
      </c>
      <c r="K24" s="2233"/>
      <c r="L24" s="2255" t="s">
        <v>2248</v>
      </c>
      <c r="M24" s="463">
        <f>ROUND(SUMPRODUCT((地价!A4:A13=YEAR(G23)&amp;"-"&amp;ROUNDUP(MONTH(G23)/3,0))*(地价!B2:G2=E2)*(地价!B4:G13)),0)</f>
        <v>355</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4">
      <c r="A25" s="2259" t="s">
        <v>574</v>
      </c>
      <c r="B25" s="2260" t="s">
        <v>3090</v>
      </c>
      <c r="C25" s="465">
        <f>IF(B25="容积率修正",IF(G3&lt;10,D26,J26),C27)</f>
        <v>1.2501</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5">
      <c r="A26" s="2266" t="s">
        <v>2253</v>
      </c>
      <c r="B26" s="467" t="s">
        <v>2254</v>
      </c>
      <c r="C26" s="467" t="s">
        <v>2899</v>
      </c>
      <c r="D26" s="467">
        <f>IF(E26=G26,F26,IF(G3&lt;10,ROUND(F26+(H26-F26)*(G3-E26)/(G26-E26),4),"——"))</f>
        <v>1.2501</v>
      </c>
      <c r="E26" s="467">
        <f>ROUNDDOWN(G3,1)</f>
        <v>1</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67">
        <f>ROUNDUP(G3,1)</f>
        <v>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9.4999999999999998E-3</v>
      </c>
      <c r="R27" s="2148"/>
      <c r="S27" s="2148"/>
      <c r="T27" s="2148"/>
      <c r="U27" s="2148"/>
      <c r="V27" s="2148"/>
      <c r="W27" s="2148"/>
      <c r="X27" s="2148"/>
      <c r="Y27" s="2148"/>
      <c r="Z27" s="2233"/>
      <c r="AA27" s="2233"/>
      <c r="AB27" s="2233"/>
      <c r="AC27" s="2233"/>
      <c r="AD27" s="2233"/>
    </row>
    <row r="28" spans="1:35" ht="14.5" thickBot="1">
      <c r="A28" s="2250" t="s">
        <v>575</v>
      </c>
      <c r="B28" s="2245" t="s">
        <v>2259</v>
      </c>
      <c r="C28" s="2245">
        <f>SUMIF(A48:A102,E2,B48:B102)</f>
        <v>1.0248999999999999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5.1999999999999998E-3</v>
      </c>
      <c r="Q28" s="2170"/>
      <c r="R28" s="2148"/>
      <c r="S28" s="2148"/>
      <c r="T28" s="2148"/>
      <c r="U28" s="2148"/>
      <c r="V28" s="2148"/>
      <c r="W28" s="2148"/>
      <c r="X28" s="2148"/>
      <c r="Y28" s="2148"/>
      <c r="Z28" s="2233"/>
      <c r="AA28" s="2233"/>
      <c r="AB28" s="2233"/>
      <c r="AC28" s="2233"/>
      <c r="AD28" s="2233"/>
    </row>
    <row r="29" spans="1:35" ht="14.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3111" t="s">
        <v>3111</v>
      </c>
      <c r="T29" s="3111"/>
      <c r="U29" s="3111"/>
      <c r="V29" s="3111"/>
      <c r="W29" s="3111"/>
      <c r="X29" s="3111"/>
      <c r="Y29" s="3111"/>
      <c r="Z29" s="3111"/>
      <c r="AA29" s="3111"/>
      <c r="AB29" s="2233"/>
      <c r="AC29" s="2233"/>
      <c r="AD29" s="2233"/>
    </row>
    <row r="30" spans="1:35" ht="14">
      <c r="A30" s="2285"/>
      <c r="B30" s="467" t="s">
        <v>2262</v>
      </c>
      <c r="C30" s="2286">
        <f>IF(B25="容积率修正",E33+SUM(E37:E42),SUM(V2:V16)+SUM(E37:E42))</f>
        <v>14436</v>
      </c>
      <c r="D30" s="2287"/>
      <c r="E30" s="2147"/>
      <c r="F30" s="2288"/>
      <c r="G30" s="2147"/>
      <c r="H30" s="2147"/>
      <c r="I30" s="2147"/>
      <c r="J30" s="2289"/>
      <c r="L30" s="2290" t="s">
        <v>2173</v>
      </c>
      <c r="M30" s="2177" t="s">
        <v>2229</v>
      </c>
      <c r="N30" s="2177" t="s">
        <v>2230</v>
      </c>
      <c r="O30" s="2177" t="s">
        <v>2231</v>
      </c>
      <c r="P30" s="2291" t="s">
        <v>2232</v>
      </c>
      <c r="Q30" s="2291" t="s">
        <v>2710</v>
      </c>
      <c r="R30" s="2148"/>
      <c r="S30" s="2830" t="s">
        <v>3112</v>
      </c>
      <c r="T30" s="2831" t="s">
        <v>3113</v>
      </c>
      <c r="U30" s="3112" t="s">
        <v>3114</v>
      </c>
      <c r="V30" s="3113"/>
      <c r="W30" s="3113"/>
      <c r="X30" s="3114"/>
      <c r="Y30" s="2832" t="s">
        <v>3115</v>
      </c>
      <c r="Z30" s="3115" t="s">
        <v>3116</v>
      </c>
      <c r="AA30" s="3115"/>
      <c r="AB30" s="2233"/>
      <c r="AC30" s="2233"/>
      <c r="AD30" s="2233"/>
    </row>
    <row r="31" spans="1:35" ht="26.5" thickBot="1">
      <c r="A31" s="2285"/>
      <c r="B31" s="2215" t="s">
        <v>2263</v>
      </c>
      <c r="C31" s="2292">
        <f>E34+SUM(I37:I42)</f>
        <v>0</v>
      </c>
      <c r="D31" s="2293"/>
      <c r="E31" s="2294"/>
      <c r="F31" s="2295"/>
      <c r="G31" s="2294"/>
      <c r="H31" s="2294"/>
      <c r="I31" s="2294"/>
      <c r="J31" s="2296"/>
      <c r="L31" s="2297" t="s">
        <v>2235</v>
      </c>
      <c r="M31" s="447">
        <v>0.25</v>
      </c>
      <c r="N31" s="447">
        <v>0.2</v>
      </c>
      <c r="O31" s="447">
        <v>0.15</v>
      </c>
      <c r="P31" s="2298">
        <v>0.1</v>
      </c>
      <c r="Q31" s="2298">
        <v>0.15</v>
      </c>
      <c r="R31" s="2148"/>
      <c r="S31" s="2832" t="s">
        <v>3117</v>
      </c>
      <c r="T31" s="2833" t="s">
        <v>3118</v>
      </c>
      <c r="U31" s="3116">
        <f>E33</f>
        <v>14436</v>
      </c>
      <c r="V31" s="3117"/>
      <c r="W31" s="3117"/>
      <c r="X31" s="3118"/>
      <c r="Y31" s="2832" t="s">
        <v>3119</v>
      </c>
      <c r="Z31" s="2833" t="s">
        <v>3120</v>
      </c>
      <c r="AA31" s="2834">
        <f>D33</f>
        <v>5118.4833333333336</v>
      </c>
      <c r="AB31" s="2233"/>
      <c r="AC31" s="2233"/>
      <c r="AD31" s="2233"/>
    </row>
    <row r="32" spans="1:35" ht="26.5"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3115" t="s">
        <v>3121</v>
      </c>
      <c r="T32" s="3119" t="s">
        <v>3122</v>
      </c>
      <c r="U32" s="3120">
        <f>ROUND(U31*(AA32-AA34)/(1-((1+AA34)/(1+AA32))^AA33),0)</f>
        <v>806</v>
      </c>
      <c r="V32" s="3121"/>
      <c r="W32" s="3121"/>
      <c r="X32" s="3122"/>
      <c r="Y32" s="3115" t="s">
        <v>3123</v>
      </c>
      <c r="Z32" s="2835" t="s">
        <v>3124</v>
      </c>
      <c r="AA32" s="2836">
        <v>0.05</v>
      </c>
      <c r="AB32" s="2233"/>
      <c r="AC32" s="2233"/>
      <c r="AD32" s="2233"/>
    </row>
    <row r="33" spans="1:30" ht="26">
      <c r="A33" s="2182"/>
      <c r="B33" s="2303" t="s">
        <v>2268</v>
      </c>
      <c r="C33" s="469">
        <f>ROUND(C5*C22*C23*C24*C25*C28,0)</f>
        <v>28204</v>
      </c>
      <c r="D33" s="969">
        <v>5118.4833333333336</v>
      </c>
      <c r="E33" s="2304">
        <f>ROUND(C33*D33/10000,0)</f>
        <v>14436</v>
      </c>
      <c r="F33" s="2305" t="s">
        <v>2269</v>
      </c>
      <c r="G33" s="2306"/>
      <c r="H33" s="2306"/>
      <c r="I33" s="2306"/>
      <c r="J33" s="2307"/>
      <c r="L33" s="2308" t="s">
        <v>2708</v>
      </c>
      <c r="M33" s="2309">
        <v>5.5E-2</v>
      </c>
      <c r="N33" s="2309">
        <v>5.5E-2</v>
      </c>
      <c r="O33" s="2309">
        <v>0.05</v>
      </c>
      <c r="P33" s="2309">
        <v>0.05</v>
      </c>
      <c r="Q33" s="2309">
        <v>0.05</v>
      </c>
      <c r="R33" s="2148"/>
      <c r="S33" s="3115"/>
      <c r="T33" s="3119"/>
      <c r="U33" s="3123"/>
      <c r="V33" s="3124"/>
      <c r="W33" s="3124"/>
      <c r="X33" s="3125"/>
      <c r="Y33" s="3115"/>
      <c r="Z33" s="2833" t="s">
        <v>3125</v>
      </c>
      <c r="AA33" s="2837">
        <f>I24</f>
        <v>26.58</v>
      </c>
      <c r="AB33" s="2233"/>
      <c r="AC33" s="2233"/>
      <c r="AD33" s="2233"/>
    </row>
    <row r="34" spans="1:30" ht="26.5" thickBot="1">
      <c r="A34" s="2236"/>
      <c r="B34" s="459" t="s">
        <v>2270</v>
      </c>
      <c r="C34" s="471">
        <f>ROUND(IF(E2="工业",C33*M42,IF(B25="楼层修正",SUM(V2:V16)*M41*10000/D34,C33*M41)),0)</f>
        <v>7051</v>
      </c>
      <c r="D34" s="2310"/>
      <c r="E34" s="2304">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3115"/>
      <c r="T34" s="3119"/>
      <c r="U34" s="3126"/>
      <c r="V34" s="3127"/>
      <c r="W34" s="3127"/>
      <c r="X34" s="3128"/>
      <c r="Y34" s="3115"/>
      <c r="Z34" s="2833" t="s">
        <v>3126</v>
      </c>
      <c r="AA34" s="2836">
        <v>0.02</v>
      </c>
      <c r="AB34" s="2233"/>
      <c r="AC34" s="2233"/>
      <c r="AD34" s="2233"/>
    </row>
    <row r="35" spans="1:30" ht="14">
      <c r="A35" s="2313"/>
      <c r="B35" s="2314" t="s">
        <v>2272</v>
      </c>
      <c r="C35" s="2315" t="s">
        <v>3075</v>
      </c>
      <c r="D35" s="2205"/>
      <c r="E35" s="2315"/>
      <c r="F35" s="2315"/>
      <c r="G35" s="2204" t="s">
        <v>2273</v>
      </c>
      <c r="H35" s="2205"/>
      <c r="I35" s="2316"/>
      <c r="J35" s="2206"/>
      <c r="L35" s="2148"/>
      <c r="M35" s="2148"/>
      <c r="N35" s="2148"/>
      <c r="O35" s="2148"/>
      <c r="P35" s="2148"/>
      <c r="Q35" s="2148"/>
      <c r="R35" s="2148"/>
      <c r="S35" s="2323" t="s">
        <v>3127</v>
      </c>
      <c r="T35" s="2838" t="s">
        <v>3128</v>
      </c>
      <c r="U35" s="2839"/>
      <c r="V35" s="2839">
        <f>ROUND(U32/365/AA31*10000,2)</f>
        <v>4.3099999999999996</v>
      </c>
      <c r="W35" s="2148"/>
      <c r="X35" s="2148"/>
      <c r="Y35" s="2148"/>
      <c r="Z35" s="2233"/>
      <c r="AA35" s="2233"/>
    </row>
    <row r="36" spans="1:30" ht="26.5"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839" t="s">
        <v>3129</v>
      </c>
      <c r="U36" s="2839"/>
      <c r="V36" s="2839">
        <f>ROUND(V35*1.1,1)</f>
        <v>4.7</v>
      </c>
      <c r="W36" s="2148"/>
      <c r="X36" s="2148"/>
      <c r="Y36" s="2148"/>
      <c r="Z36" s="2233"/>
      <c r="AA36" s="2233"/>
    </row>
    <row r="37" spans="1:30" ht="26.5" thickBot="1">
      <c r="A37" s="3140"/>
      <c r="B37" s="2322" t="s">
        <v>2275</v>
      </c>
      <c r="C37" s="469">
        <f>ROUND(D5*C22*C23*C24*C28*F37,0)</f>
        <v>15793</v>
      </c>
      <c r="D37" s="969"/>
      <c r="E37" s="447">
        <f>ROUND(C37*D37/10000,0)</f>
        <v>0</v>
      </c>
      <c r="F37" s="447">
        <f>SUMIF(修正!A57:A68,G2,修正!B57:B68)</f>
        <v>0.7</v>
      </c>
      <c r="G37" s="447">
        <f>ROUND(IF(E2="工业",C37*$M$42,C37*$M$41),0)</f>
        <v>3948</v>
      </c>
      <c r="H37" s="447">
        <f>D37</f>
        <v>0</v>
      </c>
      <c r="I37" s="447">
        <f>ROUND(G37*H37/10000,0)</f>
        <v>0</v>
      </c>
      <c r="J37" s="3142"/>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839" t="s">
        <v>3130</v>
      </c>
      <c r="U37" s="2839"/>
      <c r="V37" s="2839">
        <f>ROUND(V35*0.9,1)</f>
        <v>3.9</v>
      </c>
      <c r="W37" s="2148"/>
      <c r="X37" s="2148"/>
      <c r="Y37" s="2148"/>
      <c r="Z37" s="2233"/>
      <c r="AA37" s="2233"/>
    </row>
    <row r="38" spans="1:30" ht="13">
      <c r="A38" s="3141"/>
      <c r="B38" s="2208" t="s">
        <v>2276</v>
      </c>
      <c r="C38" s="469">
        <f>ROUND(D5*C22*C23*C24*C28*F38,0)</f>
        <v>9025</v>
      </c>
      <c r="D38" s="969"/>
      <c r="E38" s="447">
        <f t="shared" ref="E38:E42" si="4">ROUND(C38*D38/10000,0)</f>
        <v>0</v>
      </c>
      <c r="F38" s="447">
        <f>SUMIF(修正!A57:A68,G2,修正!C57:C68)</f>
        <v>0.4</v>
      </c>
      <c r="G38" s="447">
        <f>ROUND(IF(E2="工业",C38*$M$42,C38*$M$41),0)</f>
        <v>2256</v>
      </c>
      <c r="H38" s="447">
        <f t="shared" ref="H38:H42" si="5">D38</f>
        <v>0</v>
      </c>
      <c r="I38" s="447">
        <f t="shared" ref="I38:I42" si="6">ROUND(G38*H38/10000,0)</f>
        <v>0</v>
      </c>
      <c r="J38" s="3141"/>
      <c r="K38" s="2148">
        <v>5.0000000000000001E-3</v>
      </c>
      <c r="L38" s="2148"/>
      <c r="M38" s="2148"/>
      <c r="N38" s="2148"/>
      <c r="O38" s="2148"/>
      <c r="P38" s="2148"/>
      <c r="Q38" s="2148"/>
      <c r="R38" s="2148"/>
      <c r="S38" s="2148"/>
      <c r="T38" s="2148"/>
      <c r="U38" s="2148"/>
      <c r="V38" s="2148"/>
      <c r="W38" s="2148"/>
      <c r="X38" s="2148"/>
      <c r="Y38" s="2148"/>
      <c r="Z38" s="2148"/>
    </row>
    <row r="39" spans="1:30" ht="13.5" thickBot="1">
      <c r="A39" s="3141"/>
      <c r="B39" s="2208" t="s">
        <v>2940</v>
      </c>
      <c r="C39" s="469">
        <f>ROUND(D5*C22*C23*C24*C28*F39,0)</f>
        <v>6768</v>
      </c>
      <c r="D39" s="969"/>
      <c r="E39" s="447">
        <f t="shared" si="4"/>
        <v>0</v>
      </c>
      <c r="F39" s="447">
        <f>SUMIF(修正!A57:A68,G2,修正!D57:D68)</f>
        <v>0.3</v>
      </c>
      <c r="G39" s="447">
        <f>ROUND(IF(E2="工业",C39*$M$42,C39*$M$41),0)</f>
        <v>1692</v>
      </c>
      <c r="H39" s="447">
        <f t="shared" si="5"/>
        <v>0</v>
      </c>
      <c r="I39" s="447">
        <f t="shared" si="6"/>
        <v>0</v>
      </c>
      <c r="J39" s="3141"/>
      <c r="L39" s="2148"/>
      <c r="M39" s="2148"/>
      <c r="N39" s="2148"/>
      <c r="O39" s="2148"/>
      <c r="P39" s="2148"/>
      <c r="Q39" s="2148"/>
      <c r="R39" s="2148"/>
      <c r="S39" s="2148"/>
      <c r="T39" s="2148"/>
      <c r="U39" s="2148"/>
      <c r="V39" s="2148"/>
      <c r="W39" s="2148"/>
      <c r="X39" s="2148"/>
      <c r="Y39" s="2148"/>
      <c r="Z39" s="2148"/>
    </row>
    <row r="40" spans="1:30" s="2148" customFormat="1" ht="13">
      <c r="A40" s="2324"/>
      <c r="B40" s="2208" t="s">
        <v>2277</v>
      </c>
      <c r="C40" s="447">
        <f>ROUND(D5*C22*C23*C24*C28*F40,0)</f>
        <v>6768</v>
      </c>
      <c r="D40" s="969"/>
      <c r="E40" s="447">
        <f t="shared" si="4"/>
        <v>0</v>
      </c>
      <c r="F40" s="469">
        <f>SUMIF(修正!A57:A68,G2,修正!E57:E68)</f>
        <v>0.3</v>
      </c>
      <c r="G40" s="447">
        <f>ROUND(IF(E2="工业",C40*$M$42,C40*$M$41),0)</f>
        <v>1692</v>
      </c>
      <c r="H40" s="447">
        <f t="shared" si="5"/>
        <v>0</v>
      </c>
      <c r="I40" s="447">
        <f t="shared" si="6"/>
        <v>0</v>
      </c>
      <c r="J40" s="2325"/>
      <c r="L40" s="2326" t="s">
        <v>2278</v>
      </c>
      <c r="M40" s="2180"/>
    </row>
    <row r="41" spans="1:30" s="2148" customFormat="1" ht="13">
      <c r="A41" s="2324"/>
      <c r="B41" s="2208" t="s">
        <v>2279</v>
      </c>
      <c r="C41" s="447">
        <f>ROUND(D5*C22*C23*C44*C28*F41,0)</f>
        <v>0</v>
      </c>
      <c r="D41" s="969"/>
      <c r="E41" s="447">
        <f t="shared" si="4"/>
        <v>0</v>
      </c>
      <c r="F41" s="469">
        <f>SUMIF(修正!A57:A68,G2,修正!F57:F68)</f>
        <v>0.3</v>
      </c>
      <c r="G41" s="447">
        <f>ROUND(IF(E2="工业",C41*$M$42,C41*$M$41),0)</f>
        <v>0</v>
      </c>
      <c r="H41" s="447">
        <f t="shared" si="5"/>
        <v>0</v>
      </c>
      <c r="I41" s="447">
        <f t="shared" si="6"/>
        <v>0</v>
      </c>
      <c r="J41" s="2325"/>
      <c r="L41" s="1384" t="s">
        <v>3045</v>
      </c>
      <c r="M41" s="2327">
        <v>0.25</v>
      </c>
    </row>
    <row r="42" spans="1:30" s="2148" customFormat="1" ht="13.5" thickBot="1">
      <c r="A42" s="2236"/>
      <c r="B42" s="2328" t="s">
        <v>2280</v>
      </c>
      <c r="C42" s="471">
        <f>ROUND(D5*C22*C23*C44*C28*F42,0)</f>
        <v>0</v>
      </c>
      <c r="D42" s="2310"/>
      <c r="E42" s="471">
        <f t="shared" si="4"/>
        <v>0</v>
      </c>
      <c r="F42" s="470">
        <f>SUMIF(修正!A57:A68,G2,修正!G57:G68)</f>
        <v>0.2</v>
      </c>
      <c r="G42" s="471">
        <f>ROUND(IF(E2="工业",C42*$M$42,C42*$M$41),0)</f>
        <v>0</v>
      </c>
      <c r="H42" s="471">
        <f t="shared" si="5"/>
        <v>0</v>
      </c>
      <c r="I42" s="471">
        <f t="shared" si="6"/>
        <v>0</v>
      </c>
      <c r="J42" s="2296"/>
      <c r="L42" s="2301" t="s">
        <v>2232</v>
      </c>
      <c r="M42" s="2302">
        <v>0.15</v>
      </c>
    </row>
    <row r="43" spans="1:30" s="2148" customFormat="1"/>
    <row r="44" spans="1:30" s="2148" customFormat="1" ht="13">
      <c r="B44" s="455" t="s">
        <v>2379</v>
      </c>
      <c r="C44" s="447">
        <f>ROUND(POWER(1+E44,H44-G44)*(POWER(1+E44,G44)-1)/(POWER(1+E44,H44)-1),4)</f>
        <v>0</v>
      </c>
      <c r="D44" s="447" t="s">
        <v>2238</v>
      </c>
      <c r="E44" s="473">
        <f>G24</f>
        <v>5.5E-2</v>
      </c>
      <c r="F44" s="447" t="s">
        <v>2247</v>
      </c>
      <c r="G44" s="969"/>
      <c r="H44" s="447">
        <v>50</v>
      </c>
    </row>
    <row r="45" spans="1:30" s="2148" customFormat="1"/>
    <row r="46" spans="1:30" s="2148" customFormat="1"/>
    <row r="47" spans="1:30" s="2148" customFormat="1"/>
    <row r="48" spans="1:30" s="2148" customFormat="1" ht="14.5" thickBot="1">
      <c r="A48" s="2329" t="s">
        <v>2281</v>
      </c>
      <c r="B48" s="2330"/>
      <c r="C48" s="1005"/>
      <c r="D48" s="1005"/>
      <c r="E48" s="1005"/>
      <c r="F48" s="2331"/>
      <c r="G48" s="2331"/>
      <c r="H48" s="2331"/>
      <c r="I48" s="2331"/>
      <c r="J48" s="2331"/>
      <c r="K48" s="2331"/>
      <c r="L48" s="2331"/>
      <c r="M48" s="2331"/>
    </row>
    <row r="49" spans="1:14" s="2148" customFormat="1" ht="14">
      <c r="A49" s="2332" t="s">
        <v>2282</v>
      </c>
      <c r="B49" s="2333">
        <f>1+E51</f>
        <v>1</v>
      </c>
      <c r="C49" s="2334"/>
      <c r="D49" s="2335"/>
      <c r="E49" s="2336"/>
      <c r="F49" s="2337"/>
      <c r="G49" s="2331"/>
      <c r="H49" s="2331"/>
      <c r="I49" s="2331"/>
      <c r="J49" s="2331"/>
      <c r="K49" s="2331"/>
      <c r="L49" s="2331"/>
      <c r="M49" s="2331"/>
    </row>
    <row r="50" spans="1:14" s="2148" customFormat="1" ht="26">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7.5">
      <c r="A51" s="2338" t="s">
        <v>2291</v>
      </c>
      <c r="B51" s="473" t="str">
        <f>估价对象房地状况!C4</f>
        <v>估价对象位于XX商圈，周边商业氛围成熟，人流量大，商业繁华度好</v>
      </c>
      <c r="C51" s="2212"/>
      <c r="D51" s="473">
        <f t="shared" ref="D51:D59" si="7">SUMIF($J$50:$N$50,C51,J51:N51)</f>
        <v>0</v>
      </c>
      <c r="E51" s="2341">
        <f>ROUND(SUM(D51:D59),4)</f>
        <v>0</v>
      </c>
      <c r="F51" s="2216" t="str">
        <f>IF(E2="商业",SUMIF(L1:L12,G2,N1:N12),"——")</f>
        <v>——</v>
      </c>
      <c r="G51" s="2342"/>
      <c r="H51" s="2343" t="str">
        <f t="shared" ref="H51:H59" si="8">IFERROR(ROUNDDOWN($F$51*I51/2,4),"——")</f>
        <v>——</v>
      </c>
      <c r="I51" s="473">
        <v>0.3</v>
      </c>
      <c r="J51" s="467">
        <f t="shared" ref="J51:J59" si="9">K51+$G51</f>
        <v>0</v>
      </c>
      <c r="K51" s="467">
        <f t="shared" ref="K51:K59" si="10">$L51+$G51</f>
        <v>0</v>
      </c>
      <c r="L51" s="467">
        <v>0</v>
      </c>
      <c r="M51" s="467">
        <f t="shared" ref="M51:N59" si="11">L51-$G51</f>
        <v>0</v>
      </c>
      <c r="N51" s="467">
        <f t="shared" si="11"/>
        <v>0</v>
      </c>
    </row>
    <row r="52" spans="1:14" s="2148" customFormat="1" ht="50">
      <c r="A52" s="2338" t="s">
        <v>2292</v>
      </c>
      <c r="B52" s="473" t="str">
        <f>估价对象房地状况!C18</f>
        <v>估价对象周边道路状况、公共交通通达情况、停车便捷程度，综合评价交通便捷度较好</v>
      </c>
      <c r="C52" s="2212"/>
      <c r="D52" s="473">
        <f t="shared" si="7"/>
        <v>0</v>
      </c>
      <c r="E52" s="2344"/>
      <c r="F52" s="2147"/>
      <c r="G52" s="2342"/>
      <c r="H52" s="2343" t="str">
        <f t="shared" si="8"/>
        <v>——</v>
      </c>
      <c r="I52" s="473">
        <v>0.22</v>
      </c>
      <c r="J52" s="467">
        <f t="shared" si="9"/>
        <v>0</v>
      </c>
      <c r="K52" s="467">
        <f t="shared" si="10"/>
        <v>0</v>
      </c>
      <c r="L52" s="467">
        <v>0</v>
      </c>
      <c r="M52" s="467">
        <f t="shared" si="11"/>
        <v>0</v>
      </c>
      <c r="N52" s="467">
        <f t="shared" si="11"/>
        <v>0</v>
      </c>
    </row>
    <row r="53" spans="1:14" s="2148" customFormat="1" ht="39">
      <c r="A53" s="2345" t="s">
        <v>2814</v>
      </c>
      <c r="B53" s="473">
        <f>估价对象房地状况!C19</f>
        <v>0</v>
      </c>
      <c r="C53" s="2212"/>
      <c r="D53" s="473">
        <f t="shared" si="7"/>
        <v>0</v>
      </c>
      <c r="E53" s="2344"/>
      <c r="F53" s="2147"/>
      <c r="G53" s="2342"/>
      <c r="H53" s="2343" t="str">
        <f t="shared" si="8"/>
        <v>——</v>
      </c>
      <c r="I53" s="473">
        <v>0.12</v>
      </c>
      <c r="J53" s="467">
        <f t="shared" si="9"/>
        <v>0</v>
      </c>
      <c r="K53" s="467">
        <f t="shared" si="10"/>
        <v>0</v>
      </c>
      <c r="L53" s="467">
        <v>0</v>
      </c>
      <c r="M53" s="467">
        <f t="shared" si="11"/>
        <v>0</v>
      </c>
      <c r="N53" s="467">
        <f t="shared" si="11"/>
        <v>0</v>
      </c>
    </row>
    <row r="54" spans="1:14" s="2148" customFormat="1" ht="39">
      <c r="A54" s="2338" t="s">
        <v>2293</v>
      </c>
      <c r="B54" s="2346" t="s">
        <v>2294</v>
      </c>
      <c r="C54" s="2212"/>
      <c r="D54" s="473">
        <f t="shared" si="7"/>
        <v>0</v>
      </c>
      <c r="E54" s="2344"/>
      <c r="F54" s="2147"/>
      <c r="G54" s="2342"/>
      <c r="H54" s="2343" t="str">
        <f t="shared" si="8"/>
        <v>——</v>
      </c>
      <c r="I54" s="473">
        <v>0.05</v>
      </c>
      <c r="J54" s="467">
        <f t="shared" si="9"/>
        <v>0</v>
      </c>
      <c r="K54" s="467">
        <f t="shared" si="10"/>
        <v>0</v>
      </c>
      <c r="L54" s="467">
        <v>0</v>
      </c>
      <c r="M54" s="467">
        <f t="shared" si="11"/>
        <v>0</v>
      </c>
      <c r="N54" s="467">
        <f t="shared" si="11"/>
        <v>0</v>
      </c>
    </row>
    <row r="55" spans="1:14" s="2148" customFormat="1" ht="26">
      <c r="A55" s="2338" t="s">
        <v>2295</v>
      </c>
      <c r="B55" s="473">
        <f>估价对象房地状况!C24</f>
        <v>0</v>
      </c>
      <c r="C55" s="2212"/>
      <c r="D55" s="473">
        <f t="shared" si="7"/>
        <v>0</v>
      </c>
      <c r="E55" s="2344"/>
      <c r="F55" s="2147"/>
      <c r="G55" s="2342"/>
      <c r="H55" s="2343" t="str">
        <f t="shared" si="8"/>
        <v>——</v>
      </c>
      <c r="I55" s="473">
        <v>0.08</v>
      </c>
      <c r="J55" s="467">
        <f t="shared" si="9"/>
        <v>0</v>
      </c>
      <c r="K55" s="467">
        <f t="shared" si="10"/>
        <v>0</v>
      </c>
      <c r="L55" s="467">
        <v>0</v>
      </c>
      <c r="M55" s="467">
        <f t="shared" si="11"/>
        <v>0</v>
      </c>
      <c r="N55" s="467">
        <f t="shared" si="11"/>
        <v>0</v>
      </c>
    </row>
    <row r="56" spans="1:14" s="2148" customFormat="1" ht="26">
      <c r="A56" s="2338" t="s">
        <v>2296</v>
      </c>
      <c r="B56" s="2347" t="s">
        <v>2297</v>
      </c>
      <c r="C56" s="2212"/>
      <c r="D56" s="473">
        <f t="shared" si="7"/>
        <v>0</v>
      </c>
      <c r="E56" s="2344"/>
      <c r="F56" s="2147"/>
      <c r="G56" s="2342"/>
      <c r="H56" s="2343" t="str">
        <f t="shared" si="8"/>
        <v>——</v>
      </c>
      <c r="I56" s="473">
        <v>0.05</v>
      </c>
      <c r="J56" s="467">
        <f t="shared" si="9"/>
        <v>0</v>
      </c>
      <c r="K56" s="467">
        <f t="shared" si="10"/>
        <v>0</v>
      </c>
      <c r="L56" s="467">
        <v>0</v>
      </c>
      <c r="M56" s="467">
        <f t="shared" si="11"/>
        <v>0</v>
      </c>
      <c r="N56" s="467">
        <f t="shared" si="11"/>
        <v>0</v>
      </c>
    </row>
    <row r="57" spans="1:14" s="2148" customFormat="1" ht="26">
      <c r="A57" s="2348" t="s">
        <v>2298</v>
      </c>
      <c r="B57" s="934" t="str">
        <f>估价对象房地状况!C21</f>
        <v>估价对象所在区域公共配套设施齐备情况</v>
      </c>
      <c r="C57" s="2212"/>
      <c r="D57" s="473">
        <f t="shared" si="7"/>
        <v>0</v>
      </c>
      <c r="E57" s="2344"/>
      <c r="F57" s="2147"/>
      <c r="G57" s="2342"/>
      <c r="H57" s="2343" t="str">
        <f t="shared" si="8"/>
        <v>——</v>
      </c>
      <c r="I57" s="473">
        <v>0.05</v>
      </c>
      <c r="J57" s="467">
        <f t="shared" si="9"/>
        <v>0</v>
      </c>
      <c r="K57" s="467">
        <f t="shared" si="10"/>
        <v>0</v>
      </c>
      <c r="L57" s="467">
        <v>0</v>
      </c>
      <c r="M57" s="467">
        <f t="shared" si="11"/>
        <v>0</v>
      </c>
      <c r="N57" s="467">
        <f t="shared" si="11"/>
        <v>0</v>
      </c>
    </row>
    <row r="58" spans="1:14" s="2148" customFormat="1" ht="26">
      <c r="A58" s="2348" t="s">
        <v>2299</v>
      </c>
      <c r="B58" s="473" t="str">
        <f>估价对象房地状况!C22</f>
        <v>估价对象所在区域基础设施水平</v>
      </c>
      <c r="C58" s="2212"/>
      <c r="D58" s="473">
        <f t="shared" si="7"/>
        <v>0</v>
      </c>
      <c r="E58" s="2344"/>
      <c r="F58" s="2147"/>
      <c r="G58" s="2342"/>
      <c r="H58" s="2343" t="str">
        <f t="shared" si="8"/>
        <v>——</v>
      </c>
      <c r="I58" s="473">
        <v>0.08</v>
      </c>
      <c r="J58" s="467">
        <f t="shared" si="9"/>
        <v>0</v>
      </c>
      <c r="K58" s="467">
        <f t="shared" si="10"/>
        <v>0</v>
      </c>
      <c r="L58" s="467">
        <v>0</v>
      </c>
      <c r="M58" s="467">
        <f t="shared" si="11"/>
        <v>0</v>
      </c>
      <c r="N58" s="467">
        <f t="shared" si="11"/>
        <v>0</v>
      </c>
    </row>
    <row r="59" spans="1:14" s="2148" customFormat="1" ht="26.5" thickBot="1">
      <c r="A59" s="2349" t="s">
        <v>2300</v>
      </c>
      <c r="B59" s="2350" t="str">
        <f>估价对象房地状况!C20</f>
        <v>区域自然环境：；人文环境；综合评价环境状况一般</v>
      </c>
      <c r="C59" s="2212"/>
      <c r="D59" s="473">
        <f t="shared" si="7"/>
        <v>0</v>
      </c>
      <c r="E59" s="461"/>
      <c r="F59" s="2147"/>
      <c r="G59" s="2342"/>
      <c r="H59" s="2343" t="str">
        <f t="shared" si="8"/>
        <v>——</v>
      </c>
      <c r="I59" s="2351">
        <v>0.05</v>
      </c>
      <c r="J59" s="467">
        <f t="shared" si="9"/>
        <v>0</v>
      </c>
      <c r="K59" s="467">
        <f t="shared" si="10"/>
        <v>0</v>
      </c>
      <c r="L59" s="467">
        <v>0</v>
      </c>
      <c r="M59" s="467">
        <f t="shared" si="11"/>
        <v>0</v>
      </c>
      <c r="N59" s="467">
        <f t="shared" si="11"/>
        <v>0</v>
      </c>
    </row>
    <row r="60" spans="1:14" s="2148" customFormat="1" ht="14">
      <c r="A60" s="2332" t="s">
        <v>2301</v>
      </c>
      <c r="B60" s="2333">
        <f>1+E62</f>
        <v>1.0248999999999999</v>
      </c>
      <c r="C60" s="2352"/>
      <c r="D60" s="2352"/>
      <c r="E60" s="2353"/>
      <c r="F60" s="2337"/>
      <c r="G60" s="2331"/>
      <c r="H60" s="2331"/>
      <c r="I60" s="2331"/>
      <c r="J60" s="2331"/>
      <c r="K60" s="2331"/>
      <c r="L60" s="2331"/>
      <c r="M60" s="2331"/>
      <c r="N60" s="2331"/>
    </row>
    <row r="61" spans="1:14" s="2148" customFormat="1" ht="26">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7.5">
      <c r="A62" s="2338" t="s">
        <v>2303</v>
      </c>
      <c r="B62" s="473" t="str">
        <f>估价对象房地状况!C17</f>
        <v>估价对象位于XX商圈，周边办公楼项目较多，入驻率高，办公集聚程度较好</v>
      </c>
      <c r="C62" s="2212" t="s">
        <v>3108</v>
      </c>
      <c r="D62" s="473">
        <f>SUMIF($J$61:$N$61,C62,J62:N62)</f>
        <v>0</v>
      </c>
      <c r="E62" s="2341">
        <f>ROUND(SUM(D62:D70),4)</f>
        <v>2.4899999999999999E-2</v>
      </c>
      <c r="F62" s="2216">
        <f>IF(E2="办公",SUMIF(L1:L12,G2,N1:N12),"——")</f>
        <v>9.0999999999999998E-2</v>
      </c>
      <c r="G62" s="2829">
        <v>1.1299999999999999E-2</v>
      </c>
      <c r="H62" s="2343">
        <f t="shared" ref="H62:H70" si="12">IFERROR(ROUNDDOWN($F$62*I62/2,4),"——")</f>
        <v>1.1299999999999999E-2</v>
      </c>
      <c r="I62" s="473">
        <v>0.25</v>
      </c>
      <c r="J62" s="467">
        <f t="shared" ref="J62:J70" si="13">K62+$G62</f>
        <v>2.2599999999999999E-2</v>
      </c>
      <c r="K62" s="467">
        <f t="shared" ref="K62:K70" si="14">$L62+$G62</f>
        <v>1.1299999999999999E-2</v>
      </c>
      <c r="L62" s="467">
        <v>0</v>
      </c>
      <c r="M62" s="467">
        <f t="shared" ref="M62:N70" si="15">L62-$G62</f>
        <v>-1.1299999999999999E-2</v>
      </c>
      <c r="N62" s="467">
        <f t="shared" si="15"/>
        <v>-2.2599999999999999E-2</v>
      </c>
    </row>
    <row r="63" spans="1:14" s="2148" customFormat="1" ht="50">
      <c r="A63" s="2338" t="s">
        <v>2292</v>
      </c>
      <c r="B63" s="473" t="str">
        <f>估价对象房地状况!C18</f>
        <v>估价对象周边道路状况、公共交通通达情况、停车便捷程度，综合评价交通便捷度较好</v>
      </c>
      <c r="C63" s="2212" t="s">
        <v>3109</v>
      </c>
      <c r="D63" s="473">
        <f t="shared" ref="D63:D70" si="16">SUMIF($J$61:$N$61,C63,J63:N63)</f>
        <v>1.18E-2</v>
      </c>
      <c r="E63" s="2344"/>
      <c r="F63" s="2147"/>
      <c r="G63" s="2829">
        <v>1.18E-2</v>
      </c>
      <c r="H63" s="2343">
        <f t="shared" si="12"/>
        <v>1.18E-2</v>
      </c>
      <c r="I63" s="473">
        <v>0.26</v>
      </c>
      <c r="J63" s="467">
        <f t="shared" si="13"/>
        <v>2.3599999999999999E-2</v>
      </c>
      <c r="K63" s="467">
        <f t="shared" si="14"/>
        <v>1.18E-2</v>
      </c>
      <c r="L63" s="467">
        <v>0</v>
      </c>
      <c r="M63" s="467">
        <f t="shared" si="15"/>
        <v>-1.18E-2</v>
      </c>
      <c r="N63" s="467">
        <f t="shared" si="15"/>
        <v>-2.3599999999999999E-2</v>
      </c>
    </row>
    <row r="64" spans="1:14" s="2148" customFormat="1" ht="39">
      <c r="A64" s="2345" t="s">
        <v>2814</v>
      </c>
      <c r="B64" s="473">
        <f>估价对象房地状况!C19</f>
        <v>0</v>
      </c>
      <c r="C64" s="2212" t="s">
        <v>3109</v>
      </c>
      <c r="D64" s="473">
        <f t="shared" si="16"/>
        <v>5.0000000000000001E-3</v>
      </c>
      <c r="E64" s="2344"/>
      <c r="F64" s="2147"/>
      <c r="G64" s="2829">
        <v>5.0000000000000001E-3</v>
      </c>
      <c r="H64" s="2343">
        <f t="shared" si="12"/>
        <v>5.0000000000000001E-3</v>
      </c>
      <c r="I64" s="473">
        <v>0.11</v>
      </c>
      <c r="J64" s="467">
        <f t="shared" si="13"/>
        <v>0.01</v>
      </c>
      <c r="K64" s="467">
        <f t="shared" si="14"/>
        <v>5.0000000000000001E-3</v>
      </c>
      <c r="L64" s="467">
        <v>0</v>
      </c>
      <c r="M64" s="467">
        <f t="shared" si="15"/>
        <v>-5.0000000000000001E-3</v>
      </c>
      <c r="N64" s="467">
        <f t="shared" si="15"/>
        <v>-0.01</v>
      </c>
    </row>
    <row r="65" spans="1:33" s="2148" customFormat="1" ht="39">
      <c r="A65" s="2338" t="s">
        <v>2293</v>
      </c>
      <c r="B65" s="2346" t="s">
        <v>2294</v>
      </c>
      <c r="C65" s="2212" t="s">
        <v>3110</v>
      </c>
      <c r="D65" s="473">
        <f t="shared" si="16"/>
        <v>-2.2000000000000001E-3</v>
      </c>
      <c r="E65" s="2344"/>
      <c r="F65" s="2147"/>
      <c r="G65" s="2829">
        <v>2.2000000000000001E-3</v>
      </c>
      <c r="H65" s="2343">
        <f t="shared" si="12"/>
        <v>2.2000000000000001E-3</v>
      </c>
      <c r="I65" s="473">
        <v>0.05</v>
      </c>
      <c r="J65" s="467">
        <f t="shared" si="13"/>
        <v>4.4000000000000003E-3</v>
      </c>
      <c r="K65" s="467">
        <f t="shared" si="14"/>
        <v>2.2000000000000001E-3</v>
      </c>
      <c r="L65" s="467">
        <v>0</v>
      </c>
      <c r="M65" s="467">
        <f t="shared" si="15"/>
        <v>-2.2000000000000001E-3</v>
      </c>
      <c r="N65" s="467">
        <f t="shared" si="15"/>
        <v>-4.4000000000000003E-3</v>
      </c>
    </row>
    <row r="66" spans="1:33" s="2148" customFormat="1" ht="26">
      <c r="A66" s="2338" t="s">
        <v>2295</v>
      </c>
      <c r="B66" s="473">
        <f>估价对象房地状况!C24</f>
        <v>0</v>
      </c>
      <c r="C66" s="2212" t="s">
        <v>3110</v>
      </c>
      <c r="D66" s="473">
        <f t="shared" si="16"/>
        <v>-2.2000000000000001E-3</v>
      </c>
      <c r="E66" s="2344"/>
      <c r="F66" s="2147"/>
      <c r="G66" s="2829">
        <v>2.2000000000000001E-3</v>
      </c>
      <c r="H66" s="2343">
        <f t="shared" si="12"/>
        <v>2.2000000000000001E-3</v>
      </c>
      <c r="I66" s="473">
        <v>0.05</v>
      </c>
      <c r="J66" s="467">
        <f t="shared" si="13"/>
        <v>4.4000000000000003E-3</v>
      </c>
      <c r="K66" s="467">
        <f t="shared" si="14"/>
        <v>2.2000000000000001E-3</v>
      </c>
      <c r="L66" s="467">
        <v>0</v>
      </c>
      <c r="M66" s="467">
        <f t="shared" si="15"/>
        <v>-2.2000000000000001E-3</v>
      </c>
      <c r="N66" s="467">
        <f t="shared" si="15"/>
        <v>-4.4000000000000003E-3</v>
      </c>
    </row>
    <row r="67" spans="1:33" s="2148" customFormat="1" ht="26">
      <c r="A67" s="2338" t="s">
        <v>2296</v>
      </c>
      <c r="B67" s="2347" t="s">
        <v>2297</v>
      </c>
      <c r="C67" s="2212" t="s">
        <v>3109</v>
      </c>
      <c r="D67" s="473">
        <f t="shared" si="16"/>
        <v>2.7000000000000001E-3</v>
      </c>
      <c r="E67" s="2344"/>
      <c r="F67" s="2147"/>
      <c r="G67" s="2829">
        <v>2.7000000000000001E-3</v>
      </c>
      <c r="H67" s="2343">
        <f t="shared" si="12"/>
        <v>2.7000000000000001E-3</v>
      </c>
      <c r="I67" s="473">
        <v>0.06</v>
      </c>
      <c r="J67" s="467">
        <f t="shared" si="13"/>
        <v>5.4000000000000003E-3</v>
      </c>
      <c r="K67" s="467">
        <f t="shared" si="14"/>
        <v>2.7000000000000001E-3</v>
      </c>
      <c r="L67" s="467">
        <v>0</v>
      </c>
      <c r="M67" s="467">
        <f t="shared" si="15"/>
        <v>-2.7000000000000001E-3</v>
      </c>
      <c r="N67" s="467">
        <f t="shared" si="15"/>
        <v>-5.4000000000000003E-3</v>
      </c>
    </row>
    <row r="68" spans="1:33" s="2148" customFormat="1" ht="26">
      <c r="A68" s="2338" t="s">
        <v>2298</v>
      </c>
      <c r="B68" s="934" t="str">
        <f>估价对象房地状况!C21</f>
        <v>估价对象所在区域公共配套设施齐备情况</v>
      </c>
      <c r="C68" s="2212" t="s">
        <v>3109</v>
      </c>
      <c r="D68" s="473">
        <f t="shared" si="16"/>
        <v>2.7000000000000001E-3</v>
      </c>
      <c r="E68" s="2344"/>
      <c r="F68" s="2147"/>
      <c r="G68" s="2829">
        <v>2.7000000000000001E-3</v>
      </c>
      <c r="H68" s="2343">
        <f t="shared" si="12"/>
        <v>2.7000000000000001E-3</v>
      </c>
      <c r="I68" s="473">
        <v>0.06</v>
      </c>
      <c r="J68" s="467">
        <f t="shared" si="13"/>
        <v>5.4000000000000003E-3</v>
      </c>
      <c r="K68" s="467">
        <f t="shared" si="14"/>
        <v>2.7000000000000001E-3</v>
      </c>
      <c r="L68" s="467">
        <v>0</v>
      </c>
      <c r="M68" s="467">
        <f t="shared" si="15"/>
        <v>-2.7000000000000001E-3</v>
      </c>
      <c r="N68" s="467">
        <f t="shared" si="15"/>
        <v>-5.4000000000000003E-3</v>
      </c>
    </row>
    <row r="69" spans="1:33" s="2148" customFormat="1" ht="26">
      <c r="A69" s="2338" t="s">
        <v>2299</v>
      </c>
      <c r="B69" s="934" t="str">
        <f>估价对象房地状况!C22</f>
        <v>估价对象所在区域基础设施水平</v>
      </c>
      <c r="C69" s="2212" t="s">
        <v>3109</v>
      </c>
      <c r="D69" s="473">
        <f t="shared" si="16"/>
        <v>4.0000000000000001E-3</v>
      </c>
      <c r="E69" s="2344"/>
      <c r="F69" s="2147"/>
      <c r="G69" s="2829">
        <v>4.0000000000000001E-3</v>
      </c>
      <c r="H69" s="2343">
        <f t="shared" si="12"/>
        <v>4.0000000000000001E-3</v>
      </c>
      <c r="I69" s="473">
        <v>0.09</v>
      </c>
      <c r="J69" s="467">
        <f t="shared" si="13"/>
        <v>8.0000000000000002E-3</v>
      </c>
      <c r="K69" s="467">
        <f t="shared" si="14"/>
        <v>4.0000000000000001E-3</v>
      </c>
      <c r="L69" s="467">
        <v>0</v>
      </c>
      <c r="M69" s="467">
        <f t="shared" si="15"/>
        <v>-4.0000000000000001E-3</v>
      </c>
      <c r="N69" s="467">
        <f t="shared" si="15"/>
        <v>-8.0000000000000002E-3</v>
      </c>
    </row>
    <row r="70" spans="1:33" s="2148" customFormat="1" ht="26.5" thickBot="1">
      <c r="A70" s="2349" t="s">
        <v>2300</v>
      </c>
      <c r="B70" s="2351" t="str">
        <f>估价对象房地状况!C20</f>
        <v>区域自然环境：；人文环境；综合评价环境状况一般</v>
      </c>
      <c r="C70" s="2212" t="s">
        <v>3109</v>
      </c>
      <c r="D70" s="473">
        <f t="shared" si="16"/>
        <v>3.0999999999999999E-3</v>
      </c>
      <c r="E70" s="461"/>
      <c r="F70" s="2147"/>
      <c r="G70" s="2829">
        <v>3.0999999999999999E-3</v>
      </c>
      <c r="H70" s="2343">
        <f t="shared" si="12"/>
        <v>3.0999999999999999E-3</v>
      </c>
      <c r="I70" s="2351">
        <v>7.0000000000000007E-2</v>
      </c>
      <c r="J70" s="467">
        <f t="shared" si="13"/>
        <v>6.1999999999999998E-3</v>
      </c>
      <c r="K70" s="467">
        <f t="shared" si="14"/>
        <v>3.0999999999999999E-3</v>
      </c>
      <c r="L70" s="467">
        <v>0</v>
      </c>
      <c r="M70" s="467">
        <f t="shared" si="15"/>
        <v>-3.0999999999999999E-3</v>
      </c>
      <c r="N70" s="467">
        <f t="shared" si="15"/>
        <v>-6.1999999999999998E-3</v>
      </c>
    </row>
    <row r="71" spans="1:33" s="2148" customFormat="1" ht="14">
      <c r="A71" s="2332" t="s">
        <v>2304</v>
      </c>
      <c r="B71" s="2333">
        <f>1+E73</f>
        <v>1</v>
      </c>
      <c r="C71" s="2335"/>
      <c r="D71" s="2335"/>
      <c r="E71" s="2336"/>
      <c r="F71" s="2329"/>
      <c r="G71" s="2331"/>
      <c r="H71" s="2331"/>
      <c r="I71" s="2331"/>
      <c r="J71" s="2331"/>
      <c r="K71" s="2331"/>
      <c r="L71" s="2331"/>
      <c r="M71" s="2331"/>
      <c r="N71" s="2331"/>
    </row>
    <row r="72" spans="1:33" s="2148" customFormat="1" ht="26">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0">
      <c r="A73" s="2345" t="s">
        <v>2816</v>
      </c>
      <c r="B73" s="473" t="str">
        <f>估价对象房地状况!C15</f>
        <v>估价对象周边居住用地比例、居住小区规模和社区发展完善程度，综合评价居住社区成熟度一般</v>
      </c>
      <c r="C73" s="2212"/>
      <c r="D73" s="473">
        <f t="shared" ref="D73:D81" si="17">SUMIF($J$72:$N$72,C73,J73:N73)</f>
        <v>0</v>
      </c>
      <c r="E73" s="2341">
        <f>ROUND(SUM(D73:D81),4)</f>
        <v>0</v>
      </c>
      <c r="F73" s="2216" t="str">
        <f>IF(E2="住宅",SUMIF(L1:L12,G2,N1:N12),"——")</f>
        <v>——</v>
      </c>
      <c r="G73" s="2342"/>
      <c r="H73" s="2343" t="str">
        <f t="shared" ref="H73:H81" si="18">IFERROR(ROUNDDOWN($F$73*I73/2,4),"——")</f>
        <v>——</v>
      </c>
      <c r="I73" s="473">
        <v>0.2</v>
      </c>
      <c r="J73" s="467">
        <f t="shared" ref="J73:J81" si="19">K73+$G73</f>
        <v>0</v>
      </c>
      <c r="K73" s="467">
        <f t="shared" ref="K73:K81" si="20">$L73+$G73</f>
        <v>0</v>
      </c>
      <c r="L73" s="467">
        <v>0</v>
      </c>
      <c r="M73" s="467">
        <f t="shared" ref="M73:N81" si="21">L73-$G73</f>
        <v>0</v>
      </c>
      <c r="N73" s="467">
        <f t="shared" si="21"/>
        <v>0</v>
      </c>
      <c r="S73" s="2150"/>
      <c r="T73" s="2150"/>
      <c r="U73" s="2150"/>
      <c r="V73" s="2150"/>
      <c r="W73" s="2150"/>
      <c r="X73" s="2150"/>
      <c r="Y73" s="2150"/>
    </row>
    <row r="74" spans="1:33" s="2148" customFormat="1" ht="50">
      <c r="A74" s="2338" t="s">
        <v>2292</v>
      </c>
      <c r="B74" s="473" t="str">
        <f>估价对象房地状况!C18</f>
        <v>估价对象周边道路状况、公共交通通达情况、停车便捷程度，综合评价交通便捷度较好</v>
      </c>
      <c r="C74" s="2212"/>
      <c r="D74" s="473">
        <f t="shared" si="17"/>
        <v>0</v>
      </c>
      <c r="E74" s="2344"/>
      <c r="F74" s="2216"/>
      <c r="G74" s="2342"/>
      <c r="H74" s="2343" t="str">
        <f t="shared" si="18"/>
        <v>——</v>
      </c>
      <c r="I74" s="473">
        <v>0.26</v>
      </c>
      <c r="J74" s="467">
        <f t="shared" si="19"/>
        <v>0</v>
      </c>
      <c r="K74" s="467">
        <f t="shared" si="20"/>
        <v>0</v>
      </c>
      <c r="L74" s="467">
        <v>0</v>
      </c>
      <c r="M74" s="467">
        <f t="shared" si="21"/>
        <v>0</v>
      </c>
      <c r="N74" s="467">
        <f t="shared" si="21"/>
        <v>0</v>
      </c>
      <c r="S74" s="2150"/>
      <c r="T74" s="2150"/>
      <c r="U74" s="2150"/>
      <c r="V74" s="2150"/>
      <c r="W74" s="2150"/>
      <c r="X74" s="2150"/>
      <c r="Y74" s="2150"/>
    </row>
    <row r="75" spans="1:33" ht="39">
      <c r="A75" s="2345" t="s">
        <v>2814</v>
      </c>
      <c r="B75" s="473">
        <f>估价对象房地状况!C19</f>
        <v>0</v>
      </c>
      <c r="C75" s="2212"/>
      <c r="D75" s="473">
        <f t="shared" si="17"/>
        <v>0</v>
      </c>
      <c r="E75" s="2344"/>
      <c r="F75" s="2216"/>
      <c r="G75" s="2342"/>
      <c r="H75" s="2343" t="str">
        <f t="shared" si="18"/>
        <v>——</v>
      </c>
      <c r="I75" s="473">
        <v>0.1</v>
      </c>
      <c r="J75" s="467">
        <f t="shared" si="19"/>
        <v>0</v>
      </c>
      <c r="K75" s="467">
        <f t="shared" si="20"/>
        <v>0</v>
      </c>
      <c r="L75" s="467">
        <v>0</v>
      </c>
      <c r="M75" s="467">
        <f t="shared" si="21"/>
        <v>0</v>
      </c>
      <c r="N75" s="467">
        <f t="shared" si="21"/>
        <v>0</v>
      </c>
      <c r="O75" s="2148"/>
      <c r="P75" s="2148"/>
      <c r="Q75" s="2148"/>
      <c r="AA75" s="2150"/>
      <c r="AG75" s="2148"/>
    </row>
    <row r="76" spans="1:33" ht="14">
      <c r="A76" s="2338" t="s">
        <v>2305</v>
      </c>
      <c r="B76" s="473">
        <f>估价对象房地状况!C24</f>
        <v>0</v>
      </c>
      <c r="C76" s="2212"/>
      <c r="D76" s="473">
        <f t="shared" si="17"/>
        <v>0</v>
      </c>
      <c r="E76" s="2344"/>
      <c r="F76" s="2216"/>
      <c r="G76" s="2342"/>
      <c r="H76" s="2343" t="str">
        <f t="shared" si="18"/>
        <v>——</v>
      </c>
      <c r="I76" s="473">
        <v>0.05</v>
      </c>
      <c r="J76" s="467">
        <f t="shared" si="19"/>
        <v>0</v>
      </c>
      <c r="K76" s="467">
        <f t="shared" si="20"/>
        <v>0</v>
      </c>
      <c r="L76" s="467">
        <v>0</v>
      </c>
      <c r="M76" s="467">
        <f t="shared" si="21"/>
        <v>0</v>
      </c>
      <c r="N76" s="467">
        <f t="shared" si="21"/>
        <v>0</v>
      </c>
      <c r="O76" s="2148"/>
      <c r="P76" s="2148"/>
      <c r="Q76" s="2148"/>
      <c r="AA76" s="2150"/>
      <c r="AG76" s="2148"/>
    </row>
    <row r="77" spans="1:33" ht="26">
      <c r="A77" s="2338" t="s">
        <v>2298</v>
      </c>
      <c r="B77" s="934" t="str">
        <f>估价对象房地状况!C21</f>
        <v>估价对象所在区域公共配套设施齐备情况</v>
      </c>
      <c r="C77" s="2212"/>
      <c r="D77" s="473">
        <f t="shared" si="17"/>
        <v>0</v>
      </c>
      <c r="E77" s="2344"/>
      <c r="F77" s="2216"/>
      <c r="G77" s="2342"/>
      <c r="H77" s="2343" t="str">
        <f t="shared" si="18"/>
        <v>——</v>
      </c>
      <c r="I77" s="473">
        <v>0.08</v>
      </c>
      <c r="J77" s="467">
        <f t="shared" si="19"/>
        <v>0</v>
      </c>
      <c r="K77" s="467">
        <f t="shared" si="20"/>
        <v>0</v>
      </c>
      <c r="L77" s="467">
        <v>0</v>
      </c>
      <c r="M77" s="467">
        <f t="shared" si="21"/>
        <v>0</v>
      </c>
      <c r="N77" s="467">
        <f t="shared" si="21"/>
        <v>0</v>
      </c>
      <c r="O77" s="2148"/>
      <c r="P77" s="2148"/>
      <c r="Q77" s="2148"/>
      <c r="AA77" s="2150"/>
      <c r="AG77" s="2148"/>
    </row>
    <row r="78" spans="1:33" ht="26">
      <c r="A78" s="2338" t="s">
        <v>2299</v>
      </c>
      <c r="B78" s="934" t="str">
        <f>估价对象房地状况!C22</f>
        <v>估价对象所在区域基础设施水平</v>
      </c>
      <c r="C78" s="2212"/>
      <c r="D78" s="473">
        <f t="shared" si="17"/>
        <v>0</v>
      </c>
      <c r="E78" s="2344"/>
      <c r="F78" s="2216"/>
      <c r="G78" s="2342"/>
      <c r="H78" s="2343" t="str">
        <f t="shared" si="18"/>
        <v>——</v>
      </c>
      <c r="I78" s="473">
        <v>0.09</v>
      </c>
      <c r="J78" s="467">
        <f t="shared" si="19"/>
        <v>0</v>
      </c>
      <c r="K78" s="467">
        <f t="shared" si="20"/>
        <v>0</v>
      </c>
      <c r="L78" s="467">
        <v>0</v>
      </c>
      <c r="M78" s="467">
        <f t="shared" si="21"/>
        <v>0</v>
      </c>
      <c r="N78" s="467">
        <f t="shared" si="21"/>
        <v>0</v>
      </c>
      <c r="O78" s="2148"/>
      <c r="P78" s="2148"/>
      <c r="Q78" s="2148"/>
      <c r="AA78" s="2150"/>
      <c r="AG78" s="2148"/>
    </row>
    <row r="79" spans="1:33" ht="26">
      <c r="A79" s="2338" t="s">
        <v>2296</v>
      </c>
      <c r="B79" s="2347" t="s">
        <v>2297</v>
      </c>
      <c r="C79" s="2212"/>
      <c r="D79" s="473">
        <f t="shared" si="17"/>
        <v>0</v>
      </c>
      <c r="E79" s="2344"/>
      <c r="F79" s="2216"/>
      <c r="G79" s="2342"/>
      <c r="H79" s="2343" t="str">
        <f t="shared" si="18"/>
        <v>——</v>
      </c>
      <c r="I79" s="473">
        <v>0.05</v>
      </c>
      <c r="J79" s="467">
        <f t="shared" si="19"/>
        <v>0</v>
      </c>
      <c r="K79" s="467">
        <f t="shared" si="20"/>
        <v>0</v>
      </c>
      <c r="L79" s="467">
        <v>0</v>
      </c>
      <c r="M79" s="467">
        <f t="shared" si="21"/>
        <v>0</v>
      </c>
      <c r="N79" s="467">
        <f t="shared" si="21"/>
        <v>0</v>
      </c>
      <c r="AA79" s="2150"/>
      <c r="AG79" s="2148"/>
    </row>
    <row r="80" spans="1:33" ht="26">
      <c r="A80" s="2338" t="s">
        <v>2300</v>
      </c>
      <c r="B80" s="473" t="str">
        <f>估价对象房地状况!C20</f>
        <v>区域自然环境：；人文环境；综合评价环境状况一般</v>
      </c>
      <c r="C80" s="2212"/>
      <c r="D80" s="473">
        <f t="shared" si="17"/>
        <v>0</v>
      </c>
      <c r="E80" s="2344"/>
      <c r="F80" s="2216"/>
      <c r="G80" s="2342"/>
      <c r="H80" s="2343" t="str">
        <f t="shared" si="18"/>
        <v>——</v>
      </c>
      <c r="I80" s="473">
        <v>0.12</v>
      </c>
      <c r="J80" s="467">
        <f t="shared" si="19"/>
        <v>0</v>
      </c>
      <c r="K80" s="467">
        <f t="shared" si="20"/>
        <v>0</v>
      </c>
      <c r="L80" s="467">
        <v>0</v>
      </c>
      <c r="M80" s="467">
        <f t="shared" si="21"/>
        <v>0</v>
      </c>
      <c r="N80" s="467">
        <f t="shared" si="21"/>
        <v>0</v>
      </c>
      <c r="AA80" s="2150"/>
      <c r="AG80" s="2148"/>
    </row>
    <row r="81" spans="1:33" ht="26.5" thickBot="1">
      <c r="A81" s="2349" t="s">
        <v>2306</v>
      </c>
      <c r="B81" s="2354"/>
      <c r="C81" s="2212"/>
      <c r="D81" s="473">
        <f t="shared" si="17"/>
        <v>0</v>
      </c>
      <c r="E81" s="461"/>
      <c r="F81" s="2216"/>
      <c r="G81" s="2342"/>
      <c r="H81" s="2343" t="str">
        <f t="shared" si="18"/>
        <v>——</v>
      </c>
      <c r="I81" s="2351">
        <v>0.05</v>
      </c>
      <c r="J81" s="467">
        <f t="shared" si="19"/>
        <v>0</v>
      </c>
      <c r="K81" s="467">
        <f t="shared" si="20"/>
        <v>0</v>
      </c>
      <c r="L81" s="467">
        <v>0</v>
      </c>
      <c r="M81" s="467">
        <f t="shared" si="21"/>
        <v>0</v>
      </c>
      <c r="N81" s="467">
        <f t="shared" si="21"/>
        <v>0</v>
      </c>
      <c r="AA81" s="2150"/>
      <c r="AG81" s="2148"/>
    </row>
    <row r="82" spans="1:33" ht="14">
      <c r="A82" s="2332" t="s">
        <v>2307</v>
      </c>
      <c r="B82" s="2333">
        <f>1+E84</f>
        <v>1</v>
      </c>
      <c r="C82" s="2335"/>
      <c r="D82" s="2335"/>
      <c r="E82" s="2336"/>
      <c r="F82" s="2329"/>
      <c r="G82" s="2331"/>
      <c r="H82" s="2331"/>
      <c r="I82" s="2331"/>
      <c r="J82" s="2331"/>
      <c r="K82" s="2331"/>
      <c r="L82" s="2331"/>
      <c r="M82" s="2331"/>
      <c r="N82" s="2331"/>
      <c r="AA82" s="2150"/>
      <c r="AG82" s="2148"/>
    </row>
    <row r="83" spans="1:33" ht="26">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37.5">
      <c r="A84" s="2338" t="s">
        <v>2308</v>
      </c>
      <c r="B84" s="473" t="str">
        <f>估价对象房地状况!G15</f>
        <v>估价对象位于XX开发区，园区建设成熟度XX，产业集聚程度XX</v>
      </c>
      <c r="C84" s="2212"/>
      <c r="D84" s="473">
        <f t="shared" ref="D84:D91" si="22">SUMIF($J$83:$N$83,C84,J84:N84)</f>
        <v>0</v>
      </c>
      <c r="E84" s="2341">
        <f>ROUND(SUM(D84:D91),4)</f>
        <v>0</v>
      </c>
      <c r="F84" s="2216" t="str">
        <f>IF(E2="工业",SUMIF(L1:L12,G2,N1:N12),"——")</f>
        <v>——</v>
      </c>
      <c r="G84" s="2342"/>
      <c r="H84" s="2343" t="str">
        <f t="shared" ref="H84:H91" si="23">IFERROR(ROUNDDOWN($F$84*I84/2,4),"——")</f>
        <v>——</v>
      </c>
      <c r="I84" s="473">
        <v>0.26</v>
      </c>
      <c r="J84" s="467">
        <f t="shared" ref="J84:J91" si="24">K84+$G84</f>
        <v>0</v>
      </c>
      <c r="K84" s="467">
        <f t="shared" ref="K84:K91" si="25">$L84+$G84</f>
        <v>0</v>
      </c>
      <c r="L84" s="467">
        <v>0</v>
      </c>
      <c r="M84" s="467">
        <f t="shared" ref="M84:N91" si="26">L84-$G84</f>
        <v>0</v>
      </c>
      <c r="N84" s="467">
        <f t="shared" si="26"/>
        <v>0</v>
      </c>
      <c r="AA84" s="2150"/>
      <c r="AG84" s="2148"/>
    </row>
    <row r="85" spans="1:33" ht="50">
      <c r="A85" s="2338" t="s">
        <v>2292</v>
      </c>
      <c r="B85" s="473" t="str">
        <f>估价对象房地状况!G16</f>
        <v>估价对象周边道路状况、公共交通通达情况、停车便捷程度，综合评价交通便捷度较好</v>
      </c>
      <c r="C85" s="2212"/>
      <c r="D85" s="473">
        <f t="shared" si="22"/>
        <v>0</v>
      </c>
      <c r="E85" s="2344"/>
      <c r="F85" s="2216"/>
      <c r="G85" s="2342"/>
      <c r="H85" s="2343" t="str">
        <f t="shared" si="23"/>
        <v>——</v>
      </c>
      <c r="I85" s="473">
        <v>0.3</v>
      </c>
      <c r="J85" s="467">
        <f t="shared" si="24"/>
        <v>0</v>
      </c>
      <c r="K85" s="467">
        <f t="shared" si="25"/>
        <v>0</v>
      </c>
      <c r="L85" s="467">
        <v>0</v>
      </c>
      <c r="M85" s="467">
        <f t="shared" si="26"/>
        <v>0</v>
      </c>
      <c r="N85" s="467">
        <f t="shared" si="26"/>
        <v>0</v>
      </c>
      <c r="AA85" s="2150"/>
      <c r="AG85" s="2148"/>
    </row>
    <row r="86" spans="1:33" ht="39">
      <c r="A86" s="2345" t="s">
        <v>2815</v>
      </c>
      <c r="B86" s="473">
        <f>估价对象房地状况!G17</f>
        <v>0</v>
      </c>
      <c r="C86" s="2212"/>
      <c r="D86" s="473">
        <f t="shared" si="22"/>
        <v>0</v>
      </c>
      <c r="E86" s="2344"/>
      <c r="F86" s="2216"/>
      <c r="G86" s="2342"/>
      <c r="H86" s="2343" t="str">
        <f t="shared" si="23"/>
        <v>——</v>
      </c>
      <c r="I86" s="473">
        <v>0.1</v>
      </c>
      <c r="J86" s="467">
        <f t="shared" si="24"/>
        <v>0</v>
      </c>
      <c r="K86" s="467">
        <f t="shared" si="25"/>
        <v>0</v>
      </c>
      <c r="L86" s="467">
        <v>0</v>
      </c>
      <c r="M86" s="467">
        <f t="shared" si="26"/>
        <v>0</v>
      </c>
      <c r="N86" s="467">
        <f t="shared" si="26"/>
        <v>0</v>
      </c>
      <c r="AA86" s="2150"/>
      <c r="AG86" s="2148"/>
    </row>
    <row r="87" spans="1:33" ht="14">
      <c r="A87" s="2338" t="s">
        <v>2305</v>
      </c>
      <c r="B87" s="473">
        <f>估价对象房地状况!G22</f>
        <v>0</v>
      </c>
      <c r="C87" s="2212"/>
      <c r="D87" s="473">
        <f t="shared" si="22"/>
        <v>0</v>
      </c>
      <c r="E87" s="2344"/>
      <c r="F87" s="2216"/>
      <c r="G87" s="2342"/>
      <c r="H87" s="2343" t="str">
        <f t="shared" si="23"/>
        <v>——</v>
      </c>
      <c r="I87" s="473">
        <v>0.05</v>
      </c>
      <c r="J87" s="467">
        <f t="shared" si="24"/>
        <v>0</v>
      </c>
      <c r="K87" s="467">
        <f t="shared" si="25"/>
        <v>0</v>
      </c>
      <c r="L87" s="467">
        <v>0</v>
      </c>
      <c r="M87" s="467">
        <f t="shared" si="26"/>
        <v>0</v>
      </c>
      <c r="N87" s="467">
        <f t="shared" si="26"/>
        <v>0</v>
      </c>
      <c r="AA87" s="2150"/>
      <c r="AG87" s="2148"/>
    </row>
    <row r="88" spans="1:33" ht="26">
      <c r="A88" s="2338" t="s">
        <v>2298</v>
      </c>
      <c r="B88" s="934" t="str">
        <f>估价对象房地状况!G19</f>
        <v>估价对象所在区域公共配套设施齐备情况</v>
      </c>
      <c r="C88" s="2212"/>
      <c r="D88" s="473">
        <f t="shared" si="22"/>
        <v>0</v>
      </c>
      <c r="E88" s="2344"/>
      <c r="F88" s="2216"/>
      <c r="G88" s="2342"/>
      <c r="H88" s="2343" t="str">
        <f t="shared" si="23"/>
        <v>——</v>
      </c>
      <c r="I88" s="473">
        <v>0.06</v>
      </c>
      <c r="J88" s="467">
        <f t="shared" si="24"/>
        <v>0</v>
      </c>
      <c r="K88" s="467">
        <f t="shared" si="25"/>
        <v>0</v>
      </c>
      <c r="L88" s="467">
        <v>0</v>
      </c>
      <c r="M88" s="467">
        <f t="shared" si="26"/>
        <v>0</v>
      </c>
      <c r="N88" s="467">
        <f t="shared" si="26"/>
        <v>0</v>
      </c>
    </row>
    <row r="89" spans="1:33" ht="26">
      <c r="A89" s="2338" t="s">
        <v>2299</v>
      </c>
      <c r="B89" s="934" t="str">
        <f>估价对象房地状况!G20</f>
        <v>估价对象所在区域基础设施水平</v>
      </c>
      <c r="C89" s="2212"/>
      <c r="D89" s="473">
        <f t="shared" si="22"/>
        <v>0</v>
      </c>
      <c r="E89" s="2344"/>
      <c r="F89" s="2216"/>
      <c r="G89" s="2342"/>
      <c r="H89" s="2343" t="str">
        <f t="shared" si="23"/>
        <v>——</v>
      </c>
      <c r="I89" s="473">
        <v>0.12</v>
      </c>
      <c r="J89" s="467">
        <f t="shared" si="24"/>
        <v>0</v>
      </c>
      <c r="K89" s="467">
        <f t="shared" si="25"/>
        <v>0</v>
      </c>
      <c r="L89" s="467">
        <v>0</v>
      </c>
      <c r="M89" s="467">
        <f t="shared" si="26"/>
        <v>0</v>
      </c>
      <c r="N89" s="467">
        <f t="shared" si="26"/>
        <v>0</v>
      </c>
    </row>
    <row r="90" spans="1:33" ht="26">
      <c r="A90" s="2338" t="s">
        <v>2296</v>
      </c>
      <c r="B90" s="2347" t="s">
        <v>2309</v>
      </c>
      <c r="C90" s="2212"/>
      <c r="D90" s="473">
        <f t="shared" si="22"/>
        <v>0</v>
      </c>
      <c r="E90" s="2344"/>
      <c r="F90" s="2216"/>
      <c r="G90" s="2342"/>
      <c r="H90" s="2343" t="str">
        <f t="shared" si="23"/>
        <v>——</v>
      </c>
      <c r="I90" s="473">
        <v>0.06</v>
      </c>
      <c r="J90" s="467">
        <f t="shared" si="24"/>
        <v>0</v>
      </c>
      <c r="K90" s="467">
        <f t="shared" si="25"/>
        <v>0</v>
      </c>
      <c r="L90" s="467">
        <v>0</v>
      </c>
      <c r="M90" s="467">
        <f t="shared" si="26"/>
        <v>0</v>
      </c>
      <c r="N90" s="467">
        <f t="shared" si="26"/>
        <v>0</v>
      </c>
    </row>
    <row r="91" spans="1:33" ht="38" thickBot="1">
      <c r="A91" s="2349" t="s">
        <v>2310</v>
      </c>
      <c r="B91" s="2351" t="str">
        <f>估价对象房地状况!G18</f>
        <v>该园区内是否有污染型企业，绿化情况，卫生条件，整体环境状况判断</v>
      </c>
      <c r="C91" s="2212"/>
      <c r="D91" s="473">
        <f t="shared" si="22"/>
        <v>0</v>
      </c>
      <c r="E91" s="461"/>
      <c r="F91" s="2216"/>
      <c r="G91" s="2342"/>
      <c r="H91" s="2343" t="str">
        <f t="shared" si="23"/>
        <v>——</v>
      </c>
      <c r="I91" s="2351">
        <v>0.05</v>
      </c>
      <c r="J91" s="467">
        <f t="shared" si="24"/>
        <v>0</v>
      </c>
      <c r="K91" s="467">
        <f t="shared" si="25"/>
        <v>0</v>
      </c>
      <c r="L91" s="467">
        <v>0</v>
      </c>
      <c r="M91" s="467">
        <f t="shared" si="26"/>
        <v>0</v>
      </c>
      <c r="N91" s="467">
        <f t="shared" si="26"/>
        <v>0</v>
      </c>
      <c r="S91" s="2148"/>
      <c r="T91" s="2148"/>
      <c r="U91" s="2148"/>
      <c r="V91" s="2148"/>
      <c r="W91" s="2148"/>
      <c r="X91" s="2148"/>
      <c r="Y91" s="2148"/>
    </row>
    <row r="92" spans="1:33" ht="14">
      <c r="A92" s="2332" t="s">
        <v>2817</v>
      </c>
      <c r="B92" s="2333">
        <f>1+E94</f>
        <v>1</v>
      </c>
      <c r="C92" s="2355"/>
      <c r="D92" s="2355"/>
      <c r="E92" s="2355"/>
      <c r="F92" s="2355"/>
      <c r="S92" s="2148"/>
      <c r="T92" s="2148"/>
      <c r="U92" s="2148"/>
      <c r="V92" s="2148"/>
      <c r="W92" s="2148"/>
      <c r="X92" s="2148"/>
      <c r="Y92" s="2148"/>
    </row>
    <row r="93" spans="1:33" s="2148" customFormat="1" ht="26">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6">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7">K94+$G94</f>
        <v>0</v>
      </c>
      <c r="K94" s="467">
        <f t="shared" ref="K94:K102" si="28">$L94+$G94</f>
        <v>0</v>
      </c>
      <c r="L94" s="467">
        <v>0</v>
      </c>
      <c r="M94" s="467">
        <f t="shared" ref="M94:M102" si="29">L94-$G94</f>
        <v>0</v>
      </c>
      <c r="N94" s="467">
        <f t="shared" ref="N94:N102" si="30">M94-$G94</f>
        <v>0</v>
      </c>
    </row>
    <row r="95" spans="1:33" s="2148" customFormat="1" ht="50">
      <c r="A95" s="2338" t="s">
        <v>2292</v>
      </c>
      <c r="B95" s="473" t="str">
        <f>估价对象房地状况!C18</f>
        <v>估价对象周边道路状况、公共交通通达情况、停车便捷程度，综合评价交通便捷度较好</v>
      </c>
      <c r="C95" s="2212"/>
      <c r="D95" s="473">
        <f t="shared" ref="D95:D102" si="31">SUMIF($J$61:$N$61,C95,J95:N95)</f>
        <v>0</v>
      </c>
      <c r="E95" s="2344"/>
      <c r="F95" s="2216"/>
      <c r="G95" s="2342"/>
      <c r="H95" s="2343" t="str">
        <f>IFERROR(ROUNDDOWN($F$94*I95/2,4),"——")</f>
        <v>——</v>
      </c>
      <c r="I95" s="473">
        <v>0.26</v>
      </c>
      <c r="J95" s="467">
        <f t="shared" si="27"/>
        <v>0</v>
      </c>
      <c r="K95" s="467">
        <f t="shared" si="28"/>
        <v>0</v>
      </c>
      <c r="L95" s="467">
        <v>0</v>
      </c>
      <c r="M95" s="467">
        <f t="shared" si="29"/>
        <v>0</v>
      </c>
      <c r="N95" s="467">
        <f t="shared" si="30"/>
        <v>0</v>
      </c>
    </row>
    <row r="96" spans="1:33" s="2148" customFormat="1" ht="39">
      <c r="A96" s="2345" t="s">
        <v>2814</v>
      </c>
      <c r="B96" s="473">
        <f>估价对象房地状况!C19</f>
        <v>0</v>
      </c>
      <c r="C96" s="2212"/>
      <c r="D96" s="473">
        <f t="shared" si="31"/>
        <v>0</v>
      </c>
      <c r="E96" s="2344"/>
      <c r="F96" s="2216"/>
      <c r="G96" s="2342"/>
      <c r="H96" s="2343" t="str">
        <f t="shared" ref="H96:H102" si="32">IFERROR(ROUNDDOWN($F$94*I96/2,4),"——")</f>
        <v>——</v>
      </c>
      <c r="I96" s="473">
        <v>0.11</v>
      </c>
      <c r="J96" s="467">
        <f t="shared" si="27"/>
        <v>0</v>
      </c>
      <c r="K96" s="467">
        <f t="shared" si="28"/>
        <v>0</v>
      </c>
      <c r="L96" s="467">
        <v>0</v>
      </c>
      <c r="M96" s="467">
        <f t="shared" si="29"/>
        <v>0</v>
      </c>
      <c r="N96" s="467">
        <f t="shared" si="30"/>
        <v>0</v>
      </c>
    </row>
    <row r="97" spans="1:25" s="2148" customFormat="1" ht="39">
      <c r="A97" s="2338" t="s">
        <v>2293</v>
      </c>
      <c r="B97" s="2346" t="s">
        <v>2294</v>
      </c>
      <c r="C97" s="2212"/>
      <c r="D97" s="473">
        <f t="shared" si="31"/>
        <v>0</v>
      </c>
      <c r="E97" s="2344"/>
      <c r="F97" s="2216"/>
      <c r="G97" s="2342"/>
      <c r="H97" s="2343" t="str">
        <f t="shared" si="32"/>
        <v>——</v>
      </c>
      <c r="I97" s="473">
        <v>0.05</v>
      </c>
      <c r="J97" s="467">
        <f t="shared" si="27"/>
        <v>0</v>
      </c>
      <c r="K97" s="467">
        <f t="shared" si="28"/>
        <v>0</v>
      </c>
      <c r="L97" s="467">
        <v>0</v>
      </c>
      <c r="M97" s="467">
        <f t="shared" si="29"/>
        <v>0</v>
      </c>
      <c r="N97" s="467">
        <f t="shared" si="30"/>
        <v>0</v>
      </c>
    </row>
    <row r="98" spans="1:25" s="2148" customFormat="1" ht="26">
      <c r="A98" s="2338" t="s">
        <v>2295</v>
      </c>
      <c r="B98" s="473">
        <f>估价对象房地状况!C24</f>
        <v>0</v>
      </c>
      <c r="C98" s="2212"/>
      <c r="D98" s="473">
        <f t="shared" si="31"/>
        <v>0</v>
      </c>
      <c r="E98" s="2344"/>
      <c r="F98" s="2216"/>
      <c r="G98" s="2342"/>
      <c r="H98" s="2343" t="str">
        <f t="shared" si="32"/>
        <v>——</v>
      </c>
      <c r="I98" s="473">
        <v>0.05</v>
      </c>
      <c r="J98" s="467">
        <f t="shared" si="27"/>
        <v>0</v>
      </c>
      <c r="K98" s="467">
        <f t="shared" si="28"/>
        <v>0</v>
      </c>
      <c r="L98" s="467">
        <v>0</v>
      </c>
      <c r="M98" s="467">
        <f t="shared" si="29"/>
        <v>0</v>
      </c>
      <c r="N98" s="467">
        <f t="shared" si="30"/>
        <v>0</v>
      </c>
    </row>
    <row r="99" spans="1:25" s="2148" customFormat="1" ht="26">
      <c r="A99" s="2338" t="s">
        <v>2296</v>
      </c>
      <c r="B99" s="2347" t="s">
        <v>2297</v>
      </c>
      <c r="C99" s="2212"/>
      <c r="D99" s="473">
        <f t="shared" si="31"/>
        <v>0</v>
      </c>
      <c r="E99" s="2344"/>
      <c r="F99" s="2216"/>
      <c r="G99" s="2342"/>
      <c r="H99" s="2343" t="str">
        <f t="shared" si="32"/>
        <v>——</v>
      </c>
      <c r="I99" s="473">
        <v>0.06</v>
      </c>
      <c r="J99" s="467">
        <f t="shared" si="27"/>
        <v>0</v>
      </c>
      <c r="K99" s="467">
        <f t="shared" si="28"/>
        <v>0</v>
      </c>
      <c r="L99" s="467">
        <v>0</v>
      </c>
      <c r="M99" s="467">
        <f t="shared" si="29"/>
        <v>0</v>
      </c>
      <c r="N99" s="467">
        <f t="shared" si="30"/>
        <v>0</v>
      </c>
    </row>
    <row r="100" spans="1:25" s="2148" customFormat="1" ht="26">
      <c r="A100" s="2338" t="s">
        <v>2298</v>
      </c>
      <c r="B100" s="934" t="str">
        <f>估价对象房地状况!C21</f>
        <v>估价对象所在区域公共配套设施齐备情况</v>
      </c>
      <c r="C100" s="2212"/>
      <c r="D100" s="473">
        <f t="shared" si="31"/>
        <v>0</v>
      </c>
      <c r="E100" s="2344"/>
      <c r="F100" s="2216"/>
      <c r="G100" s="2342"/>
      <c r="H100" s="2343" t="str">
        <f t="shared" si="32"/>
        <v>——</v>
      </c>
      <c r="I100" s="473">
        <v>0.06</v>
      </c>
      <c r="J100" s="467">
        <f t="shared" si="27"/>
        <v>0</v>
      </c>
      <c r="K100" s="467">
        <f t="shared" si="28"/>
        <v>0</v>
      </c>
      <c r="L100" s="467">
        <v>0</v>
      </c>
      <c r="M100" s="467">
        <f t="shared" si="29"/>
        <v>0</v>
      </c>
      <c r="N100" s="467">
        <f t="shared" si="30"/>
        <v>0</v>
      </c>
    </row>
    <row r="101" spans="1:25" s="2148" customFormat="1" ht="26">
      <c r="A101" s="2338" t="s">
        <v>2299</v>
      </c>
      <c r="B101" s="934" t="str">
        <f>估价对象房地状况!C22</f>
        <v>估价对象所在区域基础设施水平</v>
      </c>
      <c r="C101" s="2212"/>
      <c r="D101" s="473">
        <f t="shared" si="31"/>
        <v>0</v>
      </c>
      <c r="E101" s="2344"/>
      <c r="F101" s="2216"/>
      <c r="G101" s="2342"/>
      <c r="H101" s="2343" t="str">
        <f t="shared" si="32"/>
        <v>——</v>
      </c>
      <c r="I101" s="473">
        <v>0.09</v>
      </c>
      <c r="J101" s="467">
        <f t="shared" si="27"/>
        <v>0</v>
      </c>
      <c r="K101" s="467">
        <f t="shared" si="28"/>
        <v>0</v>
      </c>
      <c r="L101" s="467">
        <v>0</v>
      </c>
      <c r="M101" s="467">
        <f t="shared" si="29"/>
        <v>0</v>
      </c>
      <c r="N101" s="467">
        <f t="shared" si="30"/>
        <v>0</v>
      </c>
    </row>
    <row r="102" spans="1:25" s="2148" customFormat="1" ht="26.5" thickBot="1">
      <c r="A102" s="2349" t="s">
        <v>2300</v>
      </c>
      <c r="B102" s="2351" t="str">
        <f>估价对象房地状况!C20</f>
        <v>区域自然环境：；人文环境；综合评价环境状况一般</v>
      </c>
      <c r="C102" s="2212"/>
      <c r="D102" s="473">
        <f t="shared" si="31"/>
        <v>0</v>
      </c>
      <c r="E102" s="461"/>
      <c r="F102" s="2216"/>
      <c r="G102" s="2342"/>
      <c r="H102" s="2343" t="str">
        <f t="shared" si="32"/>
        <v>——</v>
      </c>
      <c r="I102" s="2351">
        <v>7.0000000000000007E-2</v>
      </c>
      <c r="J102" s="467">
        <f t="shared" si="27"/>
        <v>0</v>
      </c>
      <c r="K102" s="467">
        <f t="shared" si="28"/>
        <v>0</v>
      </c>
      <c r="L102" s="467">
        <v>0</v>
      </c>
      <c r="M102" s="467">
        <f t="shared" si="29"/>
        <v>0</v>
      </c>
      <c r="N102" s="467">
        <f t="shared" si="30"/>
        <v>0</v>
      </c>
      <c r="S102" s="2150"/>
      <c r="T102" s="2150"/>
      <c r="U102" s="2150"/>
      <c r="V102" s="2150"/>
      <c r="W102" s="2150"/>
      <c r="X102" s="2150"/>
      <c r="Y102" s="2150"/>
    </row>
    <row r="103" spans="1:25" s="2148" customFormat="1" ht="14">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ht="13">
      <c r="A104" s="3137" t="s">
        <v>2311</v>
      </c>
      <c r="B104" s="3137"/>
      <c r="C104" s="3137"/>
      <c r="D104" s="3137"/>
      <c r="E104" s="3137"/>
      <c r="F104" s="3137"/>
      <c r="G104" s="3137"/>
      <c r="H104" s="3137"/>
      <c r="I104" s="3137"/>
      <c r="J104" s="3137"/>
      <c r="K104" s="898"/>
      <c r="L104" s="898"/>
      <c r="M104" s="898"/>
      <c r="N104" s="898"/>
    </row>
    <row r="105" spans="1:25" ht="13">
      <c r="A105" s="3139" t="s">
        <v>2312</v>
      </c>
      <c r="B105" s="3139" t="s">
        <v>2313</v>
      </c>
      <c r="C105" s="2305" t="s">
        <v>2314</v>
      </c>
      <c r="D105" s="2306"/>
      <c r="E105" s="2306"/>
      <c r="F105" s="2306"/>
      <c r="G105" s="2306"/>
      <c r="H105" s="2306"/>
      <c r="I105" s="2306"/>
      <c r="J105" s="2360"/>
      <c r="K105" s="2361"/>
      <c r="L105" s="2361"/>
      <c r="M105" s="2361"/>
      <c r="N105" s="2361"/>
    </row>
    <row r="106" spans="1:25" ht="13">
      <c r="A106" s="3139"/>
      <c r="B106" s="3139"/>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43"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44"/>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44"/>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44"/>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44"/>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ht="13">
      <c r="A112" s="3144"/>
      <c r="B112" s="2304" t="s">
        <v>2717</v>
      </c>
      <c r="C112" s="2362">
        <f>$I$3</f>
        <v>0</v>
      </c>
      <c r="D112" s="2362">
        <f t="shared" ref="D112:M112" si="33">$I$3</f>
        <v>0</v>
      </c>
      <c r="E112" s="2362">
        <f t="shared" si="33"/>
        <v>0</v>
      </c>
      <c r="F112" s="2362">
        <f t="shared" si="33"/>
        <v>0</v>
      </c>
      <c r="G112" s="2362">
        <f t="shared" si="33"/>
        <v>0</v>
      </c>
      <c r="H112" s="2362">
        <f t="shared" si="33"/>
        <v>0</v>
      </c>
      <c r="I112" s="2362">
        <f t="shared" si="33"/>
        <v>0</v>
      </c>
      <c r="J112" s="2362">
        <f t="shared" si="33"/>
        <v>0</v>
      </c>
      <c r="K112" s="2362">
        <f t="shared" si="33"/>
        <v>0</v>
      </c>
      <c r="L112" s="2362">
        <f t="shared" si="33"/>
        <v>0</v>
      </c>
      <c r="M112" s="2362">
        <f t="shared" si="33"/>
        <v>0</v>
      </c>
      <c r="N112" s="2362">
        <f>$I$3</f>
        <v>0</v>
      </c>
    </row>
    <row r="113" spans="1:14">
      <c r="A113" s="3145"/>
      <c r="B113" s="2304">
        <v>6</v>
      </c>
      <c r="C113" s="476">
        <f>(-0.5556*(C112^2)-0.2719*C112+8944)*(10^(-4))</f>
        <v>0.89440000000000008</v>
      </c>
      <c r="D113" s="476">
        <f>(-0.5556*(D112^2)-0.2719*D112+8944)*(10^(-4))</f>
        <v>0.89440000000000008</v>
      </c>
      <c r="E113" s="476">
        <f>(-0.7912*(E112^2)-11.3794*E112+8482)*(10^(-4))</f>
        <v>0.84820000000000007</v>
      </c>
      <c r="F113" s="476">
        <f t="shared" ref="F113:I113" si="34">(-0.7912*(F112^2)-11.3794*F112+8482)*(10^(-4))</f>
        <v>0.84820000000000007</v>
      </c>
      <c r="G113" s="476">
        <f t="shared" si="34"/>
        <v>0.84820000000000007</v>
      </c>
      <c r="H113" s="476">
        <f t="shared" si="34"/>
        <v>0.84820000000000007</v>
      </c>
      <c r="I113" s="476">
        <f t="shared" si="34"/>
        <v>0.84820000000000007</v>
      </c>
      <c r="J113" s="476">
        <f>(-0.989*(J112^2)-63.78*J112+7771)*(10^(-4))</f>
        <v>0.77710000000000001</v>
      </c>
      <c r="K113" s="476">
        <f t="shared" ref="K113:N113" si="35">(-0.989*(K112^2)-63.78*K112+7771)*(10^(-4))</f>
        <v>0.77710000000000001</v>
      </c>
      <c r="L113" s="476">
        <f t="shared" si="35"/>
        <v>0.77710000000000001</v>
      </c>
      <c r="M113" s="476">
        <f t="shared" si="35"/>
        <v>0.77710000000000001</v>
      </c>
      <c r="N113" s="476">
        <f t="shared" si="35"/>
        <v>0.77710000000000001</v>
      </c>
    </row>
    <row r="114" spans="1:14" ht="13">
      <c r="A114" s="3138" t="s">
        <v>2316</v>
      </c>
      <c r="B114" s="3138"/>
      <c r="C114" s="3138"/>
      <c r="D114" s="3138"/>
      <c r="E114" s="3138"/>
      <c r="F114" s="3138"/>
      <c r="G114" s="3138"/>
      <c r="H114" s="3138"/>
      <c r="I114" s="3138"/>
      <c r="J114" s="3138"/>
      <c r="K114" s="2363"/>
      <c r="L114" s="2363"/>
      <c r="M114" s="2363"/>
      <c r="N114" s="2363"/>
    </row>
    <row r="116" spans="1:14" ht="13" thickBot="1"/>
    <row r="117" spans="1:14" ht="26" thickBot="1">
      <c r="A117" s="2269" t="s">
        <v>2317</v>
      </c>
      <c r="B117" s="2364">
        <f>G3</f>
        <v>1</v>
      </c>
      <c r="C117" s="2252" t="s">
        <v>2318</v>
      </c>
      <c r="D117" s="474">
        <f>SUMPRODUCT((A119:A123=F117)*(B118:M118=H117)*B119:M123)</f>
        <v>0.98180000000000001</v>
      </c>
      <c r="E117" s="447" t="s">
        <v>2173</v>
      </c>
      <c r="F117" s="475" t="str">
        <f>E2</f>
        <v>办公</v>
      </c>
      <c r="G117" s="447" t="s">
        <v>2174</v>
      </c>
      <c r="H117" s="475" t="str">
        <f>G2</f>
        <v>二级</v>
      </c>
      <c r="I117" s="447"/>
      <c r="J117" s="2365"/>
      <c r="K117" s="2365"/>
      <c r="L117" s="2365"/>
      <c r="M117" s="2365"/>
    </row>
    <row r="118" spans="1:14" ht="13">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ht="13">
      <c r="A119" s="2297" t="s">
        <v>2229</v>
      </c>
      <c r="B119" s="476">
        <f>ROUND(0.9968-0.011*B117,4)</f>
        <v>0.98580000000000001</v>
      </c>
      <c r="C119" s="476">
        <f>B119</f>
        <v>0.98580000000000001</v>
      </c>
      <c r="D119" s="476">
        <f>ROUND(0.949-0.014*B117,4)</f>
        <v>0.93500000000000005</v>
      </c>
      <c r="E119" s="476">
        <f>D119</f>
        <v>0.93500000000000005</v>
      </c>
      <c r="F119" s="476">
        <f>E119</f>
        <v>0.93500000000000005</v>
      </c>
      <c r="G119" s="476">
        <f>F119</f>
        <v>0.93500000000000005</v>
      </c>
      <c r="H119" s="476">
        <f>G119</f>
        <v>0.93500000000000005</v>
      </c>
      <c r="I119" s="476">
        <f>ROUND(0.8486-0.018*B117,4)</f>
        <v>0.8306</v>
      </c>
      <c r="J119" s="476">
        <f t="shared" ref="J119:M122" si="36">I119</f>
        <v>0.8306</v>
      </c>
      <c r="K119" s="476">
        <f t="shared" si="36"/>
        <v>0.8306</v>
      </c>
      <c r="L119" s="476">
        <f t="shared" si="36"/>
        <v>0.8306</v>
      </c>
      <c r="M119" s="478">
        <f t="shared" si="36"/>
        <v>0.8306</v>
      </c>
    </row>
    <row r="120" spans="1:14" ht="13">
      <c r="A120" s="2297" t="s">
        <v>2230</v>
      </c>
      <c r="B120" s="476">
        <f>ROUND(0.993-0.0112*B117,4)</f>
        <v>0.98180000000000001</v>
      </c>
      <c r="C120" s="476">
        <f>B120</f>
        <v>0.98180000000000001</v>
      </c>
      <c r="D120" s="476">
        <f>ROUND(0.9415-0.0142*B117,4)</f>
        <v>0.92730000000000001</v>
      </c>
      <c r="E120" s="476">
        <f t="shared" ref="E120:H121" si="37">D120</f>
        <v>0.92730000000000001</v>
      </c>
      <c r="F120" s="476">
        <f t="shared" si="37"/>
        <v>0.92730000000000001</v>
      </c>
      <c r="G120" s="476">
        <f t="shared" si="37"/>
        <v>0.92730000000000001</v>
      </c>
      <c r="H120" s="476">
        <f t="shared" si="37"/>
        <v>0.92730000000000001</v>
      </c>
      <c r="I120" s="476">
        <f>ROUND(0.838-0.0182*B117,4)</f>
        <v>0.81979999999999997</v>
      </c>
      <c r="J120" s="476">
        <f t="shared" si="36"/>
        <v>0.81979999999999997</v>
      </c>
      <c r="K120" s="476">
        <f t="shared" si="36"/>
        <v>0.81979999999999997</v>
      </c>
      <c r="L120" s="476">
        <f t="shared" si="36"/>
        <v>0.81979999999999997</v>
      </c>
      <c r="M120" s="478">
        <f t="shared" si="36"/>
        <v>0.81979999999999997</v>
      </c>
    </row>
    <row r="121" spans="1:14" ht="13">
      <c r="A121" s="2297" t="s">
        <v>2231</v>
      </c>
      <c r="B121" s="476">
        <f>ROUND(0.9448-0.0115*B117,4)</f>
        <v>0.93330000000000002</v>
      </c>
      <c r="C121" s="476">
        <f>B121</f>
        <v>0.93330000000000002</v>
      </c>
      <c r="D121" s="476">
        <f>ROUND(0.937-0.0145*B117,4)</f>
        <v>0.92249999999999999</v>
      </c>
      <c r="E121" s="476">
        <f t="shared" si="37"/>
        <v>0.92249999999999999</v>
      </c>
      <c r="F121" s="476">
        <f t="shared" si="37"/>
        <v>0.92249999999999999</v>
      </c>
      <c r="G121" s="476">
        <f t="shared" si="37"/>
        <v>0.92249999999999999</v>
      </c>
      <c r="H121" s="476">
        <f t="shared" si="37"/>
        <v>0.92249999999999999</v>
      </c>
      <c r="I121" s="476">
        <f>ROUND(0.7965-0.0185*B117,4)</f>
        <v>0.77800000000000002</v>
      </c>
      <c r="J121" s="476">
        <f t="shared" si="36"/>
        <v>0.77800000000000002</v>
      </c>
      <c r="K121" s="476">
        <f t="shared" si="36"/>
        <v>0.77800000000000002</v>
      </c>
      <c r="L121" s="476">
        <f t="shared" si="36"/>
        <v>0.77800000000000002</v>
      </c>
      <c r="M121" s="478">
        <f t="shared" si="36"/>
        <v>0.77800000000000002</v>
      </c>
    </row>
    <row r="122" spans="1:14" ht="13.5" thickBot="1">
      <c r="A122" s="2301" t="s">
        <v>2232</v>
      </c>
      <c r="B122" s="477">
        <f>ROUND(0.7836-0.012*B117,4)</f>
        <v>0.77159999999999995</v>
      </c>
      <c r="C122" s="477">
        <f>B122</f>
        <v>0.77159999999999995</v>
      </c>
      <c r="D122" s="477">
        <f>ROUND(0.753-0.015*B117,4)</f>
        <v>0.73799999999999999</v>
      </c>
      <c r="E122" s="477">
        <f>D122</f>
        <v>0.73799999999999999</v>
      </c>
      <c r="F122" s="477">
        <f>E122</f>
        <v>0.73799999999999999</v>
      </c>
      <c r="G122" s="477">
        <f>ROUND(0.6612-0.018*B117,4)</f>
        <v>0.64319999999999999</v>
      </c>
      <c r="H122" s="477">
        <f>G122</f>
        <v>0.64319999999999999</v>
      </c>
      <c r="I122" s="477">
        <f>ROUND(0.5905-0.019*B117,4)</f>
        <v>0.57150000000000001</v>
      </c>
      <c r="J122" s="477">
        <f t="shared" si="36"/>
        <v>0.57150000000000001</v>
      </c>
      <c r="K122" s="477">
        <f t="shared" si="36"/>
        <v>0.57150000000000001</v>
      </c>
      <c r="L122" s="477">
        <f t="shared" si="36"/>
        <v>0.57150000000000001</v>
      </c>
      <c r="M122" s="479">
        <f t="shared" si="36"/>
        <v>0.57150000000000001</v>
      </c>
    </row>
    <row r="123" spans="1:14" ht="13">
      <c r="A123" s="2372" t="s">
        <v>2901</v>
      </c>
      <c r="B123" s="476">
        <f>ROUND(0.9404-0.0106*B117,4)</f>
        <v>0.92979999999999996</v>
      </c>
      <c r="C123" s="476">
        <f>B123</f>
        <v>0.92979999999999996</v>
      </c>
      <c r="D123" s="476">
        <f>ROUND(0.8955-0.0135*B117,4)</f>
        <v>0.88200000000000001</v>
      </c>
      <c r="E123" s="476">
        <f t="shared" ref="E123" si="38">D123</f>
        <v>0.88200000000000001</v>
      </c>
      <c r="F123" s="476">
        <f t="shared" ref="F123" si="39">E123</f>
        <v>0.88200000000000001</v>
      </c>
      <c r="G123" s="476">
        <f t="shared" ref="G123" si="40">F123</f>
        <v>0.88200000000000001</v>
      </c>
      <c r="H123" s="476">
        <f t="shared" ref="H123" si="41">G123</f>
        <v>0.88200000000000001</v>
      </c>
      <c r="I123" s="476">
        <f>ROUND(0.7632-0.0166*B117,4)</f>
        <v>0.74660000000000004</v>
      </c>
      <c r="J123" s="476">
        <f t="shared" ref="J123" si="42">I123</f>
        <v>0.74660000000000004</v>
      </c>
      <c r="K123" s="476">
        <f t="shared" ref="K123" si="43">J123</f>
        <v>0.74660000000000004</v>
      </c>
      <c r="L123" s="476">
        <f t="shared" ref="L123" si="44">K123</f>
        <v>0.74660000000000004</v>
      </c>
      <c r="M123" s="478">
        <f t="shared" ref="M123" si="45">L123</f>
        <v>0.74660000000000004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20">
    <mergeCell ref="A104:J104"/>
    <mergeCell ref="A114:J114"/>
    <mergeCell ref="A105:A106"/>
    <mergeCell ref="B105:B106"/>
    <mergeCell ref="A37:A39"/>
    <mergeCell ref="J37:J39"/>
    <mergeCell ref="A107:A113"/>
    <mergeCell ref="W8:X8"/>
    <mergeCell ref="W9:W10"/>
    <mergeCell ref="A4:J4"/>
    <mergeCell ref="D20:E20"/>
    <mergeCell ref="F20:G20"/>
    <mergeCell ref="S29:AA29"/>
    <mergeCell ref="U30:X30"/>
    <mergeCell ref="Z30:AA30"/>
    <mergeCell ref="U31:X31"/>
    <mergeCell ref="S32:S34"/>
    <mergeCell ref="T32:T34"/>
    <mergeCell ref="U32:X34"/>
    <mergeCell ref="Y32:Y34"/>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6953125" defaultRowHeight="14"/>
  <cols>
    <col min="1" max="13" width="15.26953125" style="2376" customWidth="1"/>
    <col min="14" max="14" width="10" style="2376" customWidth="1"/>
    <col min="15" max="16" width="8.26953125" style="2376"/>
    <col min="17" max="17" width="34.08984375" style="2376" customWidth="1"/>
    <col min="18" max="18" width="8.26953125" style="2376" customWidth="1"/>
    <col min="19" max="19" width="8.26953125" style="2376"/>
    <col min="20" max="20" width="11.6328125" style="2376" customWidth="1"/>
    <col min="21" max="16384" width="8.26953125" style="2376"/>
  </cols>
  <sheetData>
    <row r="1" spans="1:13" ht="14.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4.5" thickBot="1">
      <c r="A7" s="2389" t="s">
        <v>2702</v>
      </c>
      <c r="B7" s="2390">
        <v>2.5</v>
      </c>
      <c r="C7" s="2390">
        <v>2.5</v>
      </c>
      <c r="D7" s="2390">
        <v>2</v>
      </c>
      <c r="E7" s="2390">
        <v>2</v>
      </c>
      <c r="F7" s="2390">
        <v>2</v>
      </c>
      <c r="G7" s="2390">
        <v>2</v>
      </c>
      <c r="H7" s="2390">
        <v>2</v>
      </c>
      <c r="I7" s="2391">
        <v>1.5</v>
      </c>
      <c r="J7" s="2391">
        <v>1.5</v>
      </c>
      <c r="K7" s="2391">
        <v>1.5</v>
      </c>
      <c r="L7" s="2391">
        <v>1.5</v>
      </c>
      <c r="M7" s="2392">
        <v>1.5</v>
      </c>
    </row>
    <row r="8" spans="1:13">
      <c r="A8" s="2393" t="s">
        <v>438</v>
      </c>
      <c r="B8" s="480">
        <v>80</v>
      </c>
      <c r="C8" s="480">
        <v>80</v>
      </c>
      <c r="D8" s="480">
        <v>70</v>
      </c>
      <c r="E8" s="480">
        <v>70</v>
      </c>
      <c r="F8" s="480">
        <v>70</v>
      </c>
      <c r="G8" s="480">
        <v>70</v>
      </c>
      <c r="H8" s="480">
        <v>70</v>
      </c>
      <c r="I8" s="480">
        <v>60</v>
      </c>
      <c r="J8" s="480">
        <v>60</v>
      </c>
      <c r="K8" s="480">
        <v>60</v>
      </c>
      <c r="L8" s="480">
        <v>60</v>
      </c>
      <c r="M8" s="481">
        <v>60</v>
      </c>
    </row>
    <row r="9" spans="1:13">
      <c r="A9" s="2394" t="s">
        <v>439</v>
      </c>
      <c r="B9" s="482">
        <v>70</v>
      </c>
      <c r="C9" s="482">
        <v>70</v>
      </c>
      <c r="D9" s="482">
        <v>60</v>
      </c>
      <c r="E9" s="482">
        <v>60</v>
      </c>
      <c r="F9" s="482">
        <v>60</v>
      </c>
      <c r="G9" s="482">
        <v>60</v>
      </c>
      <c r="H9" s="482">
        <v>60</v>
      </c>
      <c r="I9" s="482">
        <v>50</v>
      </c>
      <c r="J9" s="482">
        <v>50</v>
      </c>
      <c r="K9" s="482">
        <v>50</v>
      </c>
      <c r="L9" s="482">
        <v>50</v>
      </c>
      <c r="M9" s="483">
        <v>50</v>
      </c>
    </row>
    <row r="10" spans="1:13">
      <c r="A10" s="2394" t="s">
        <v>440</v>
      </c>
      <c r="B10" s="482">
        <v>20</v>
      </c>
      <c r="C10" s="482">
        <v>20</v>
      </c>
      <c r="D10" s="482">
        <v>15</v>
      </c>
      <c r="E10" s="482">
        <v>15</v>
      </c>
      <c r="F10" s="482">
        <v>15</v>
      </c>
      <c r="G10" s="482">
        <v>15</v>
      </c>
      <c r="H10" s="482">
        <v>15</v>
      </c>
      <c r="I10" s="482">
        <v>10</v>
      </c>
      <c r="J10" s="482">
        <v>10</v>
      </c>
      <c r="K10" s="482">
        <v>10</v>
      </c>
      <c r="L10" s="482">
        <v>10</v>
      </c>
      <c r="M10" s="483">
        <v>10</v>
      </c>
    </row>
    <row r="11" spans="1:13">
      <c r="A11" s="2394" t="s">
        <v>441</v>
      </c>
      <c r="B11" s="482">
        <v>30</v>
      </c>
      <c r="C11" s="482">
        <v>30</v>
      </c>
      <c r="D11" s="482">
        <v>25</v>
      </c>
      <c r="E11" s="482">
        <v>25</v>
      </c>
      <c r="F11" s="482">
        <v>25</v>
      </c>
      <c r="G11" s="482">
        <v>25</v>
      </c>
      <c r="H11" s="482">
        <v>25</v>
      </c>
      <c r="I11" s="482">
        <v>20</v>
      </c>
      <c r="J11" s="482">
        <v>20</v>
      </c>
      <c r="K11" s="482">
        <v>20</v>
      </c>
      <c r="L11" s="482">
        <v>20</v>
      </c>
      <c r="M11" s="483">
        <v>20</v>
      </c>
    </row>
    <row r="12" spans="1:13">
      <c r="A12" s="2394" t="s">
        <v>442</v>
      </c>
      <c r="B12" s="482">
        <v>45</v>
      </c>
      <c r="C12" s="482">
        <v>45</v>
      </c>
      <c r="D12" s="482">
        <v>40</v>
      </c>
      <c r="E12" s="482">
        <v>40</v>
      </c>
      <c r="F12" s="482">
        <v>40</v>
      </c>
      <c r="G12" s="482">
        <v>40</v>
      </c>
      <c r="H12" s="482">
        <v>40</v>
      </c>
      <c r="I12" s="482">
        <v>35</v>
      </c>
      <c r="J12" s="482">
        <v>35</v>
      </c>
      <c r="K12" s="482">
        <v>35</v>
      </c>
      <c r="L12" s="482">
        <v>35</v>
      </c>
      <c r="M12" s="483">
        <v>35</v>
      </c>
    </row>
    <row r="13" spans="1:13">
      <c r="A13" s="2394" t="s">
        <v>443</v>
      </c>
      <c r="B13" s="482">
        <v>60</v>
      </c>
      <c r="C13" s="482">
        <v>60</v>
      </c>
      <c r="D13" s="482">
        <v>50</v>
      </c>
      <c r="E13" s="482">
        <v>50</v>
      </c>
      <c r="F13" s="482">
        <v>50</v>
      </c>
      <c r="G13" s="482">
        <v>50</v>
      </c>
      <c r="H13" s="482">
        <v>50</v>
      </c>
      <c r="I13" s="482">
        <v>40</v>
      </c>
      <c r="J13" s="482">
        <v>40</v>
      </c>
      <c r="K13" s="482">
        <v>40</v>
      </c>
      <c r="L13" s="482">
        <v>40</v>
      </c>
      <c r="M13" s="483">
        <v>40</v>
      </c>
    </row>
    <row r="14" spans="1:13">
      <c r="A14" s="2394" t="s">
        <v>444</v>
      </c>
      <c r="B14" s="482">
        <v>50</v>
      </c>
      <c r="C14" s="482">
        <v>50</v>
      </c>
      <c r="D14" s="482">
        <v>40</v>
      </c>
      <c r="E14" s="482">
        <v>40</v>
      </c>
      <c r="F14" s="482">
        <v>40</v>
      </c>
      <c r="G14" s="482">
        <v>40</v>
      </c>
      <c r="H14" s="482">
        <v>40</v>
      </c>
      <c r="I14" s="482">
        <v>30</v>
      </c>
      <c r="J14" s="482">
        <v>30</v>
      </c>
      <c r="K14" s="482">
        <v>30</v>
      </c>
      <c r="L14" s="482">
        <v>30</v>
      </c>
      <c r="M14" s="483">
        <v>30</v>
      </c>
    </row>
    <row r="15" spans="1:13">
      <c r="A15" s="2395" t="s">
        <v>445</v>
      </c>
      <c r="B15" s="484">
        <v>20</v>
      </c>
      <c r="C15" s="484">
        <v>20</v>
      </c>
      <c r="D15" s="484">
        <v>15</v>
      </c>
      <c r="E15" s="484">
        <v>15</v>
      </c>
      <c r="F15" s="484">
        <v>15</v>
      </c>
      <c r="G15" s="484">
        <v>15</v>
      </c>
      <c r="H15" s="484">
        <v>15</v>
      </c>
      <c r="I15" s="484">
        <v>10</v>
      </c>
      <c r="J15" s="484">
        <v>10</v>
      </c>
      <c r="K15" s="484">
        <v>10</v>
      </c>
      <c r="L15" s="484">
        <v>10</v>
      </c>
      <c r="M15" s="485">
        <v>10</v>
      </c>
    </row>
    <row r="16" spans="1:13">
      <c r="A16" s="482" t="s">
        <v>446</v>
      </c>
      <c r="B16" s="486">
        <v>0</v>
      </c>
      <c r="C16" s="486">
        <v>0</v>
      </c>
      <c r="D16" s="486">
        <v>0</v>
      </c>
      <c r="E16" s="486">
        <v>0</v>
      </c>
      <c r="F16" s="486">
        <v>0</v>
      </c>
      <c r="G16" s="486">
        <v>0</v>
      </c>
      <c r="H16" s="486">
        <v>0</v>
      </c>
      <c r="I16" s="486">
        <v>0</v>
      </c>
      <c r="J16" s="486">
        <v>0</v>
      </c>
      <c r="K16" s="486">
        <v>0</v>
      </c>
      <c r="L16" s="486">
        <v>0</v>
      </c>
      <c r="M16" s="486">
        <v>0</v>
      </c>
    </row>
    <row r="17" spans="1:13">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5">
      <c r="A18" s="2396" t="s">
        <v>447</v>
      </c>
      <c r="B18" s="2396"/>
      <c r="C18" s="2397"/>
      <c r="D18" s="2397"/>
      <c r="E18" s="2396"/>
      <c r="F18" s="2397"/>
      <c r="G18" s="2397"/>
    </row>
    <row r="19" spans="1:13" ht="14.5" thickBot="1">
      <c r="A19" s="484" t="s">
        <v>2876</v>
      </c>
      <c r="B19" s="2399" t="s">
        <v>2877</v>
      </c>
      <c r="C19" s="2399" t="s">
        <v>521</v>
      </c>
      <c r="D19" s="2400"/>
      <c r="E19" s="484" t="s">
        <v>3053</v>
      </c>
      <c r="F19" s="2401"/>
      <c r="G19" s="2401"/>
    </row>
    <row r="20" spans="1:13">
      <c r="A20" s="3146" t="s">
        <v>156</v>
      </c>
      <c r="B20" s="3156" t="s">
        <v>2893</v>
      </c>
      <c r="C20" s="2402" t="s">
        <v>2823</v>
      </c>
      <c r="D20" s="2403"/>
      <c r="E20" s="487">
        <v>1</v>
      </c>
      <c r="F20" s="2404" t="s">
        <v>2829</v>
      </c>
      <c r="G20" s="2404"/>
    </row>
    <row r="21" spans="1:13">
      <c r="A21" s="3147"/>
      <c r="B21" s="3151"/>
      <c r="C21" s="2405" t="s">
        <v>2824</v>
      </c>
      <c r="D21" s="2406"/>
      <c r="E21" s="488">
        <v>1</v>
      </c>
      <c r="F21" s="2404" t="s">
        <v>2830</v>
      </c>
      <c r="G21" s="2404"/>
    </row>
    <row r="22" spans="1:13">
      <c r="A22" s="3147"/>
      <c r="B22" s="3151"/>
      <c r="C22" s="2405" t="s">
        <v>2825</v>
      </c>
      <c r="D22" s="2406"/>
      <c r="E22" s="488">
        <v>0.9</v>
      </c>
      <c r="F22" s="2404" t="s">
        <v>2831</v>
      </c>
      <c r="G22" s="2404"/>
    </row>
    <row r="23" spans="1:13">
      <c r="A23" s="3147"/>
      <c r="B23" s="3151"/>
      <c r="C23" s="2405" t="s">
        <v>2826</v>
      </c>
      <c r="D23" s="2406"/>
      <c r="E23" s="488">
        <v>0.9</v>
      </c>
      <c r="F23" s="2404" t="s">
        <v>2832</v>
      </c>
      <c r="G23" s="2404"/>
    </row>
    <row r="24" spans="1:13">
      <c r="A24" s="3147"/>
      <c r="B24" s="3151"/>
      <c r="C24" s="2405" t="s">
        <v>2827</v>
      </c>
      <c r="D24" s="2406"/>
      <c r="E24" s="488">
        <v>0.8</v>
      </c>
      <c r="F24" s="2404" t="s">
        <v>2833</v>
      </c>
      <c r="G24" s="2404"/>
    </row>
    <row r="25" spans="1:13" ht="14.5" thickBot="1">
      <c r="A25" s="3148"/>
      <c r="B25" s="3157"/>
      <c r="C25" s="2407" t="s">
        <v>2828</v>
      </c>
      <c r="D25" s="2408"/>
      <c r="E25" s="489">
        <v>0.8</v>
      </c>
      <c r="F25" s="2404" t="s">
        <v>2834</v>
      </c>
      <c r="G25" s="2404"/>
    </row>
    <row r="26" spans="1:13" ht="14.5" thickBot="1">
      <c r="A26" s="2409" t="s">
        <v>157</v>
      </c>
      <c r="B26" s="2410" t="s">
        <v>2893</v>
      </c>
      <c r="C26" s="2411" t="s">
        <v>2837</v>
      </c>
      <c r="D26" s="2412"/>
      <c r="E26" s="490">
        <v>1</v>
      </c>
      <c r="F26" s="2404" t="s">
        <v>2835</v>
      </c>
      <c r="G26" s="2404"/>
    </row>
    <row r="27" spans="1:13">
      <c r="A27" s="3153" t="s">
        <v>2836</v>
      </c>
      <c r="B27" s="3156" t="s">
        <v>2836</v>
      </c>
      <c r="C27" s="2402" t="s">
        <v>2838</v>
      </c>
      <c r="D27" s="2403"/>
      <c r="E27" s="487">
        <v>1</v>
      </c>
      <c r="F27" s="2404" t="s">
        <v>2851</v>
      </c>
      <c r="G27" s="2404"/>
    </row>
    <row r="28" spans="1:13">
      <c r="A28" s="3154"/>
      <c r="B28" s="3151"/>
      <c r="C28" s="2405" t="s">
        <v>2839</v>
      </c>
      <c r="D28" s="2406"/>
      <c r="E28" s="488">
        <v>1</v>
      </c>
      <c r="F28" s="2404" t="s">
        <v>2852</v>
      </c>
      <c r="G28" s="2404"/>
    </row>
    <row r="29" spans="1:13">
      <c r="A29" s="3154"/>
      <c r="B29" s="3151"/>
      <c r="C29" s="2405" t="s">
        <v>2840</v>
      </c>
      <c r="D29" s="2406"/>
      <c r="E29" s="488">
        <v>0.8</v>
      </c>
      <c r="F29" s="2404" t="s">
        <v>2853</v>
      </c>
      <c r="G29" s="2404"/>
    </row>
    <row r="30" spans="1:13">
      <c r="A30" s="3154"/>
      <c r="B30" s="3151"/>
      <c r="C30" s="2405" t="s">
        <v>2841</v>
      </c>
      <c r="D30" s="2406"/>
      <c r="E30" s="488">
        <v>0.8</v>
      </c>
      <c r="F30" s="2404" t="s">
        <v>2854</v>
      </c>
      <c r="G30" s="2404"/>
    </row>
    <row r="31" spans="1:13">
      <c r="A31" s="3154"/>
      <c r="B31" s="3151"/>
      <c r="C31" s="2405" t="s">
        <v>2842</v>
      </c>
      <c r="D31" s="2406"/>
      <c r="E31" s="488">
        <v>0.8</v>
      </c>
      <c r="F31" s="2404" t="s">
        <v>2855</v>
      </c>
      <c r="G31" s="2404"/>
    </row>
    <row r="32" spans="1:13">
      <c r="A32" s="3154"/>
      <c r="B32" s="3151"/>
      <c r="C32" s="2405" t="s">
        <v>2843</v>
      </c>
      <c r="D32" s="2406"/>
      <c r="E32" s="488">
        <v>0.7</v>
      </c>
      <c r="F32" s="2404" t="s">
        <v>2856</v>
      </c>
      <c r="G32" s="2404"/>
    </row>
    <row r="33" spans="1:7">
      <c r="A33" s="3154"/>
      <c r="B33" s="3151"/>
      <c r="C33" s="2405" t="s">
        <v>2844</v>
      </c>
      <c r="D33" s="2406"/>
      <c r="E33" s="488">
        <v>0.8</v>
      </c>
      <c r="F33" s="2404" t="s">
        <v>2857</v>
      </c>
      <c r="G33" s="2404"/>
    </row>
    <row r="34" spans="1:7">
      <c r="A34" s="3154"/>
      <c r="B34" s="3151"/>
      <c r="C34" s="2405" t="s">
        <v>2845</v>
      </c>
      <c r="D34" s="2406"/>
      <c r="E34" s="488">
        <v>0.6</v>
      </c>
      <c r="F34" s="2404" t="s">
        <v>2858</v>
      </c>
      <c r="G34" s="2404"/>
    </row>
    <row r="35" spans="1:7">
      <c r="A35" s="3154"/>
      <c r="B35" s="3151"/>
      <c r="C35" s="2405" t="s">
        <v>2846</v>
      </c>
      <c r="D35" s="2406"/>
      <c r="E35" s="488">
        <v>0.2</v>
      </c>
      <c r="F35" s="2404" t="s">
        <v>2859</v>
      </c>
      <c r="G35" s="2404"/>
    </row>
    <row r="36" spans="1:7">
      <c r="A36" s="3154"/>
      <c r="B36" s="3151"/>
      <c r="C36" s="2405" t="s">
        <v>2847</v>
      </c>
      <c r="D36" s="2406"/>
      <c r="E36" s="488">
        <v>0.2</v>
      </c>
      <c r="F36" s="2404" t="s">
        <v>2860</v>
      </c>
      <c r="G36" s="2404"/>
    </row>
    <row r="37" spans="1:7">
      <c r="A37" s="3154"/>
      <c r="B37" s="3150" t="s">
        <v>2894</v>
      </c>
      <c r="C37" s="2405" t="s">
        <v>2848</v>
      </c>
      <c r="D37" s="2406"/>
      <c r="E37" s="488">
        <v>0.6</v>
      </c>
      <c r="F37" s="2404" t="s">
        <v>2861</v>
      </c>
      <c r="G37" s="2404"/>
    </row>
    <row r="38" spans="1:7">
      <c r="A38" s="3154"/>
      <c r="B38" s="3151"/>
      <c r="C38" s="2405" t="s">
        <v>2849</v>
      </c>
      <c r="D38" s="2406"/>
      <c r="E38" s="488">
        <v>0.6</v>
      </c>
      <c r="F38" s="2404" t="s">
        <v>2862</v>
      </c>
      <c r="G38" s="2404"/>
    </row>
    <row r="39" spans="1:7" ht="14.5" thickBot="1">
      <c r="A39" s="3155"/>
      <c r="B39" s="3157"/>
      <c r="C39" s="2407" t="s">
        <v>2850</v>
      </c>
      <c r="D39" s="2408"/>
      <c r="E39" s="489">
        <v>0.6</v>
      </c>
      <c r="F39" s="2404" t="s">
        <v>2863</v>
      </c>
      <c r="G39" s="2404"/>
    </row>
    <row r="40" spans="1:7" ht="14.5" thickBot="1">
      <c r="A40" s="2409" t="s">
        <v>514</v>
      </c>
      <c r="B40" s="2410" t="s">
        <v>2895</v>
      </c>
      <c r="C40" s="2411" t="s">
        <v>2864</v>
      </c>
      <c r="D40" s="2412"/>
      <c r="E40" s="490">
        <v>1</v>
      </c>
      <c r="F40" s="2404" t="s">
        <v>2865</v>
      </c>
      <c r="G40" s="2404"/>
    </row>
    <row r="41" spans="1:7">
      <c r="A41" s="3146" t="s">
        <v>158</v>
      </c>
      <c r="B41" s="3156" t="s">
        <v>2890</v>
      </c>
      <c r="C41" s="2402" t="s">
        <v>2866</v>
      </c>
      <c r="D41" s="2403"/>
      <c r="E41" s="487">
        <v>1</v>
      </c>
      <c r="F41" s="2404" t="s">
        <v>2878</v>
      </c>
      <c r="G41" s="2404"/>
    </row>
    <row r="42" spans="1:7">
      <c r="A42" s="3147"/>
      <c r="B42" s="3151"/>
      <c r="C42" s="2405" t="s">
        <v>2867</v>
      </c>
      <c r="D42" s="2406"/>
      <c r="E42" s="488">
        <v>1</v>
      </c>
      <c r="F42" s="2404" t="s">
        <v>2879</v>
      </c>
      <c r="G42" s="2404"/>
    </row>
    <row r="43" spans="1:7">
      <c r="A43" s="3147"/>
      <c r="B43" s="3152"/>
      <c r="C43" s="2405" t="s">
        <v>2868</v>
      </c>
      <c r="D43" s="2406"/>
      <c r="E43" s="488">
        <v>1.5</v>
      </c>
      <c r="F43" s="2404" t="s">
        <v>2880</v>
      </c>
      <c r="G43" s="2404"/>
    </row>
    <row r="44" spans="1:7">
      <c r="A44" s="3147"/>
      <c r="B44" s="491" t="s">
        <v>2891</v>
      </c>
      <c r="C44" s="2405" t="s">
        <v>2889</v>
      </c>
      <c r="D44" s="2406"/>
      <c r="E44" s="488">
        <v>2</v>
      </c>
      <c r="F44" s="2404" t="s">
        <v>2881</v>
      </c>
      <c r="G44" s="2404"/>
    </row>
    <row r="45" spans="1:7">
      <c r="A45" s="3147"/>
      <c r="B45" s="3150" t="s">
        <v>2892</v>
      </c>
      <c r="C45" s="2405" t="s">
        <v>2869</v>
      </c>
      <c r="D45" s="2406"/>
      <c r="E45" s="488">
        <v>1</v>
      </c>
      <c r="F45" s="2404" t="s">
        <v>2882</v>
      </c>
      <c r="G45" s="2404"/>
    </row>
    <row r="46" spans="1:7">
      <c r="A46" s="3147"/>
      <c r="B46" s="3151"/>
      <c r="C46" s="2405" t="s">
        <v>2870</v>
      </c>
      <c r="D46" s="2406"/>
      <c r="E46" s="488">
        <v>1</v>
      </c>
      <c r="F46" s="2404" t="s">
        <v>2883</v>
      </c>
      <c r="G46" s="2404"/>
    </row>
    <row r="47" spans="1:7">
      <c r="A47" s="3147"/>
      <c r="B47" s="3151"/>
      <c r="C47" s="2405" t="s">
        <v>2871</v>
      </c>
      <c r="D47" s="2406"/>
      <c r="E47" s="488">
        <v>1</v>
      </c>
      <c r="F47" s="2404" t="s">
        <v>2884</v>
      </c>
      <c r="G47" s="2404"/>
    </row>
    <row r="48" spans="1:7">
      <c r="A48" s="3147"/>
      <c r="B48" s="3151"/>
      <c r="C48" s="2405" t="s">
        <v>2872</v>
      </c>
      <c r="D48" s="2406"/>
      <c r="E48" s="488">
        <v>1</v>
      </c>
      <c r="F48" s="2404" t="s">
        <v>2885</v>
      </c>
      <c r="G48" s="2404"/>
    </row>
    <row r="49" spans="1:7">
      <c r="A49" s="3147"/>
      <c r="B49" s="3151"/>
      <c r="C49" s="2405" t="s">
        <v>2873</v>
      </c>
      <c r="D49" s="2406"/>
      <c r="E49" s="488">
        <v>1</v>
      </c>
      <c r="F49" s="2404" t="s">
        <v>2886</v>
      </c>
      <c r="G49" s="2404"/>
    </row>
    <row r="50" spans="1:7">
      <c r="A50" s="3147"/>
      <c r="B50" s="3151"/>
      <c r="C50" s="2405" t="s">
        <v>2874</v>
      </c>
      <c r="D50" s="2406"/>
      <c r="E50" s="488">
        <v>1</v>
      </c>
      <c r="F50" s="2404" t="s">
        <v>2887</v>
      </c>
      <c r="G50" s="2404"/>
    </row>
    <row r="51" spans="1:7" ht="14.5" thickBot="1">
      <c r="A51" s="3148"/>
      <c r="B51" s="3157"/>
      <c r="C51" s="2407" t="s">
        <v>2875</v>
      </c>
      <c r="D51" s="2408"/>
      <c r="E51" s="489">
        <v>1</v>
      </c>
      <c r="F51" s="2404" t="s">
        <v>2888</v>
      </c>
      <c r="G51" s="2404"/>
    </row>
    <row r="52" spans="1:7">
      <c r="A52" s="2413"/>
      <c r="B52" s="2413"/>
      <c r="C52" s="2413"/>
      <c r="D52" s="2413"/>
      <c r="E52" s="2413"/>
      <c r="F52" s="2413"/>
      <c r="G52" s="2413"/>
    </row>
    <row r="54" spans="1:7">
      <c r="A54" s="2414"/>
      <c r="B54" s="482" t="s">
        <v>448</v>
      </c>
      <c r="C54" s="482" t="s">
        <v>448</v>
      </c>
      <c r="D54" s="482" t="s">
        <v>448</v>
      </c>
      <c r="E54" s="484" t="s">
        <v>448</v>
      </c>
      <c r="F54" s="484" t="s">
        <v>449</v>
      </c>
      <c r="G54" s="484" t="s">
        <v>448</v>
      </c>
    </row>
    <row r="55" spans="1:7">
      <c r="A55" s="2415"/>
      <c r="B55" s="484" t="s">
        <v>156</v>
      </c>
      <c r="C55" s="484" t="s">
        <v>156</v>
      </c>
      <c r="D55" s="484" t="s">
        <v>156</v>
      </c>
      <c r="E55" s="482" t="s">
        <v>157</v>
      </c>
      <c r="F55" s="482" t="s">
        <v>158</v>
      </c>
      <c r="G55" s="482" t="s">
        <v>450</v>
      </c>
    </row>
    <row r="56" spans="1:7">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c r="A73" s="491">
        <v>1</v>
      </c>
      <c r="B73" s="3150" t="s">
        <v>459</v>
      </c>
      <c r="C73" s="482" t="s">
        <v>460</v>
      </c>
      <c r="D73" s="482" t="s">
        <v>461</v>
      </c>
      <c r="E73" s="491">
        <v>0.2</v>
      </c>
      <c r="F73" s="491">
        <v>25</v>
      </c>
    </row>
    <row r="74" spans="1:7" ht="26">
      <c r="A74" s="491">
        <v>2</v>
      </c>
      <c r="B74" s="3151"/>
      <c r="C74" s="482" t="s">
        <v>2719</v>
      </c>
      <c r="D74" s="482" t="s">
        <v>2720</v>
      </c>
      <c r="E74" s="491">
        <v>0.2</v>
      </c>
      <c r="F74" s="491">
        <v>25</v>
      </c>
    </row>
    <row r="75" spans="1:7" ht="26">
      <c r="A75" s="491">
        <v>3</v>
      </c>
      <c r="B75" s="3151"/>
      <c r="C75" s="482" t="s">
        <v>2721</v>
      </c>
      <c r="D75" s="482" t="s">
        <v>2722</v>
      </c>
      <c r="E75" s="491">
        <v>0.2</v>
      </c>
      <c r="F75" s="491">
        <v>25</v>
      </c>
    </row>
    <row r="76" spans="1:7">
      <c r="A76" s="491">
        <v>4</v>
      </c>
      <c r="B76" s="3151"/>
      <c r="C76" s="482" t="s">
        <v>2723</v>
      </c>
      <c r="D76" s="482" t="s">
        <v>2724</v>
      </c>
      <c r="E76" s="491">
        <v>0.15</v>
      </c>
      <c r="F76" s="491">
        <v>20</v>
      </c>
    </row>
    <row r="77" spans="1:7" ht="26">
      <c r="A77" s="491">
        <v>5</v>
      </c>
      <c r="B77" s="3151"/>
      <c r="C77" s="482" t="s">
        <v>2725</v>
      </c>
      <c r="D77" s="482" t="s">
        <v>2726</v>
      </c>
      <c r="E77" s="491">
        <v>0.15</v>
      </c>
      <c r="F77" s="491">
        <v>20</v>
      </c>
    </row>
    <row r="78" spans="1:7" ht="26">
      <c r="A78" s="491">
        <v>6</v>
      </c>
      <c r="B78" s="3151"/>
      <c r="C78" s="482" t="s">
        <v>2727</v>
      </c>
      <c r="D78" s="482" t="s">
        <v>2728</v>
      </c>
      <c r="E78" s="491">
        <v>0.15</v>
      </c>
      <c r="F78" s="491">
        <v>20</v>
      </c>
    </row>
    <row r="79" spans="1:7" ht="26">
      <c r="A79" s="491">
        <v>7</v>
      </c>
      <c r="B79" s="3151"/>
      <c r="C79" s="482" t="s">
        <v>2729</v>
      </c>
      <c r="D79" s="482" t="s">
        <v>2730</v>
      </c>
      <c r="E79" s="491">
        <v>0.15</v>
      </c>
      <c r="F79" s="491">
        <v>20</v>
      </c>
    </row>
    <row r="80" spans="1:7" ht="26">
      <c r="A80" s="491">
        <v>8</v>
      </c>
      <c r="B80" s="3151"/>
      <c r="C80" s="482" t="s">
        <v>2731</v>
      </c>
      <c r="D80" s="482" t="s">
        <v>2732</v>
      </c>
      <c r="E80" s="491">
        <v>0.1</v>
      </c>
      <c r="F80" s="491">
        <v>15</v>
      </c>
    </row>
    <row r="81" spans="1:6" ht="26">
      <c r="A81" s="491">
        <v>9</v>
      </c>
      <c r="B81" s="3151"/>
      <c r="C81" s="482" t="s">
        <v>2733</v>
      </c>
      <c r="D81" s="482" t="s">
        <v>2734</v>
      </c>
      <c r="E81" s="491">
        <v>0.1</v>
      </c>
      <c r="F81" s="491">
        <v>15</v>
      </c>
    </row>
    <row r="82" spans="1:6" ht="26">
      <c r="A82" s="491">
        <v>10</v>
      </c>
      <c r="B82" s="3151"/>
      <c r="C82" s="482" t="s">
        <v>2735</v>
      </c>
      <c r="D82" s="482" t="s">
        <v>2736</v>
      </c>
      <c r="E82" s="491">
        <v>0.1</v>
      </c>
      <c r="F82" s="491">
        <v>15</v>
      </c>
    </row>
    <row r="83" spans="1:6" ht="26">
      <c r="A83" s="491">
        <v>11</v>
      </c>
      <c r="B83" s="3151"/>
      <c r="C83" s="482" t="s">
        <v>2737</v>
      </c>
      <c r="D83" s="482" t="s">
        <v>2738</v>
      </c>
      <c r="E83" s="491">
        <v>0.1</v>
      </c>
      <c r="F83" s="491">
        <v>15</v>
      </c>
    </row>
    <row r="84" spans="1:6" ht="26">
      <c r="A84" s="491">
        <v>12</v>
      </c>
      <c r="B84" s="3151"/>
      <c r="C84" s="482" t="s">
        <v>2739</v>
      </c>
      <c r="D84" s="482" t="s">
        <v>2740</v>
      </c>
      <c r="E84" s="491">
        <v>0.1</v>
      </c>
      <c r="F84" s="491">
        <v>15</v>
      </c>
    </row>
    <row r="85" spans="1:6">
      <c r="A85" s="491">
        <v>13</v>
      </c>
      <c r="B85" s="3151"/>
      <c r="C85" s="482" t="s">
        <v>2741</v>
      </c>
      <c r="D85" s="482" t="s">
        <v>2742</v>
      </c>
      <c r="E85" s="491">
        <v>0.1</v>
      </c>
      <c r="F85" s="491">
        <v>15</v>
      </c>
    </row>
    <row r="86" spans="1:6">
      <c r="A86" s="491">
        <v>14</v>
      </c>
      <c r="B86" s="3151"/>
      <c r="C86" s="482" t="s">
        <v>2743</v>
      </c>
      <c r="D86" s="482" t="s">
        <v>2744</v>
      </c>
      <c r="E86" s="491">
        <v>0.1</v>
      </c>
      <c r="F86" s="491">
        <v>15</v>
      </c>
    </row>
    <row r="87" spans="1:6">
      <c r="A87" s="491">
        <v>15</v>
      </c>
      <c r="B87" s="3151"/>
      <c r="C87" s="482" t="s">
        <v>2745</v>
      </c>
      <c r="D87" s="482" t="s">
        <v>2746</v>
      </c>
      <c r="E87" s="491">
        <v>0.1</v>
      </c>
      <c r="F87" s="491">
        <v>15</v>
      </c>
    </row>
    <row r="88" spans="1:6" ht="26">
      <c r="A88" s="491">
        <v>16</v>
      </c>
      <c r="B88" s="3151"/>
      <c r="C88" s="482" t="s">
        <v>2747</v>
      </c>
      <c r="D88" s="482" t="s">
        <v>2748</v>
      </c>
      <c r="E88" s="491">
        <v>0.1</v>
      </c>
      <c r="F88" s="491">
        <v>15</v>
      </c>
    </row>
    <row r="89" spans="1:6" ht="26">
      <c r="A89" s="491">
        <v>17</v>
      </c>
      <c r="B89" s="3152"/>
      <c r="C89" s="482" t="s">
        <v>2749</v>
      </c>
      <c r="D89" s="482" t="s">
        <v>2750</v>
      </c>
      <c r="E89" s="491">
        <v>0.1</v>
      </c>
      <c r="F89" s="491">
        <v>15</v>
      </c>
    </row>
    <row r="90" spans="1:6">
      <c r="A90" s="491">
        <v>18</v>
      </c>
      <c r="B90" s="3150" t="s">
        <v>462</v>
      </c>
      <c r="C90" s="482" t="s">
        <v>463</v>
      </c>
      <c r="D90" s="482" t="s">
        <v>464</v>
      </c>
      <c r="E90" s="491">
        <v>0.2</v>
      </c>
      <c r="F90" s="491">
        <v>25</v>
      </c>
    </row>
    <row r="91" spans="1:6" ht="26">
      <c r="A91" s="491">
        <v>19</v>
      </c>
      <c r="B91" s="3151"/>
      <c r="C91" s="482" t="s">
        <v>2751</v>
      </c>
      <c r="D91" s="482" t="s">
        <v>467</v>
      </c>
      <c r="E91" s="491">
        <v>0.2</v>
      </c>
      <c r="F91" s="491">
        <v>25</v>
      </c>
    </row>
    <row r="92" spans="1:6">
      <c r="A92" s="491">
        <v>20</v>
      </c>
      <c r="B92" s="3151"/>
      <c r="C92" s="482" t="s">
        <v>465</v>
      </c>
      <c r="D92" s="482" t="s">
        <v>466</v>
      </c>
      <c r="E92" s="491">
        <v>0.15</v>
      </c>
      <c r="F92" s="491">
        <v>20</v>
      </c>
    </row>
    <row r="93" spans="1:6" ht="26">
      <c r="A93" s="491">
        <v>21</v>
      </c>
      <c r="B93" s="3151"/>
      <c r="C93" s="482" t="s">
        <v>2752</v>
      </c>
      <c r="D93" s="482" t="s">
        <v>468</v>
      </c>
      <c r="E93" s="491">
        <v>0.15</v>
      </c>
      <c r="F93" s="491">
        <v>20</v>
      </c>
    </row>
    <row r="94" spans="1:6" ht="26">
      <c r="A94" s="491">
        <v>22</v>
      </c>
      <c r="B94" s="3151"/>
      <c r="C94" s="482" t="s">
        <v>2754</v>
      </c>
      <c r="D94" s="482" t="s">
        <v>2755</v>
      </c>
      <c r="E94" s="491">
        <v>0.15</v>
      </c>
      <c r="F94" s="491">
        <v>20</v>
      </c>
    </row>
    <row r="95" spans="1:6" ht="39">
      <c r="A95" s="491">
        <v>23</v>
      </c>
      <c r="B95" s="3151"/>
      <c r="C95" s="482" t="s">
        <v>2756</v>
      </c>
      <c r="D95" s="482" t="s">
        <v>2757</v>
      </c>
      <c r="E95" s="491">
        <v>0.15</v>
      </c>
      <c r="F95" s="491">
        <v>20</v>
      </c>
    </row>
    <row r="96" spans="1:6">
      <c r="A96" s="491">
        <v>24</v>
      </c>
      <c r="B96" s="3151"/>
      <c r="C96" s="482" t="s">
        <v>2758</v>
      </c>
      <c r="D96" s="482" t="s">
        <v>2759</v>
      </c>
      <c r="E96" s="491">
        <v>0.1</v>
      </c>
      <c r="F96" s="491">
        <v>15</v>
      </c>
    </row>
    <row r="97" spans="1:6" ht="26">
      <c r="A97" s="491">
        <v>25</v>
      </c>
      <c r="B97" s="3151"/>
      <c r="C97" s="482" t="s">
        <v>2753</v>
      </c>
      <c r="D97" s="482" t="s">
        <v>2760</v>
      </c>
      <c r="E97" s="491">
        <v>0.1</v>
      </c>
      <c r="F97" s="491">
        <v>15</v>
      </c>
    </row>
    <row r="98" spans="1:6" ht="26">
      <c r="A98" s="491">
        <v>26</v>
      </c>
      <c r="B98" s="3151"/>
      <c r="C98" s="482" t="s">
        <v>2761</v>
      </c>
      <c r="D98" s="482" t="s">
        <v>2762</v>
      </c>
      <c r="E98" s="491">
        <v>0.1</v>
      </c>
      <c r="F98" s="491">
        <v>15</v>
      </c>
    </row>
    <row r="99" spans="1:6" ht="26">
      <c r="A99" s="491">
        <v>27</v>
      </c>
      <c r="B99" s="3151"/>
      <c r="C99" s="482" t="s">
        <v>2763</v>
      </c>
      <c r="D99" s="482" t="s">
        <v>2764</v>
      </c>
      <c r="E99" s="491">
        <v>0.1</v>
      </c>
      <c r="F99" s="491">
        <v>15</v>
      </c>
    </row>
    <row r="100" spans="1:6" ht="26">
      <c r="A100" s="491">
        <v>28</v>
      </c>
      <c r="B100" s="3151"/>
      <c r="C100" s="482" t="s">
        <v>2765</v>
      </c>
      <c r="D100" s="482" t="s">
        <v>2766</v>
      </c>
      <c r="E100" s="491">
        <v>0.1</v>
      </c>
      <c r="F100" s="491">
        <v>15</v>
      </c>
    </row>
    <row r="101" spans="1:6" ht="26">
      <c r="A101" s="491">
        <v>29</v>
      </c>
      <c r="B101" s="3151"/>
      <c r="C101" s="482" t="s">
        <v>2767</v>
      </c>
      <c r="D101" s="482" t="s">
        <v>2768</v>
      </c>
      <c r="E101" s="491">
        <v>0.1</v>
      </c>
      <c r="F101" s="491">
        <v>15</v>
      </c>
    </row>
    <row r="102" spans="1:6" ht="26">
      <c r="A102" s="491">
        <v>30</v>
      </c>
      <c r="B102" s="3151"/>
      <c r="C102" s="482" t="s">
        <v>2769</v>
      </c>
      <c r="D102" s="482" t="s">
        <v>2770</v>
      </c>
      <c r="E102" s="491">
        <v>0.1</v>
      </c>
      <c r="F102" s="491">
        <v>15</v>
      </c>
    </row>
    <row r="103" spans="1:6" ht="26">
      <c r="A103" s="491">
        <v>31</v>
      </c>
      <c r="B103" s="3151"/>
      <c r="C103" s="482" t="s">
        <v>2771</v>
      </c>
      <c r="D103" s="482" t="s">
        <v>2772</v>
      </c>
      <c r="E103" s="491">
        <v>0.1</v>
      </c>
      <c r="F103" s="491">
        <v>15</v>
      </c>
    </row>
    <row r="104" spans="1:6" ht="26">
      <c r="A104" s="491">
        <v>32</v>
      </c>
      <c r="B104" s="3151"/>
      <c r="C104" s="482" t="s">
        <v>2773</v>
      </c>
      <c r="D104" s="482" t="s">
        <v>2774</v>
      </c>
      <c r="E104" s="491">
        <v>0.1</v>
      </c>
      <c r="F104" s="491">
        <v>15</v>
      </c>
    </row>
    <row r="105" spans="1:6" ht="26">
      <c r="A105" s="491">
        <v>33</v>
      </c>
      <c r="B105" s="3151"/>
      <c r="C105" s="482" t="s">
        <v>2775</v>
      </c>
      <c r="D105" s="482" t="s">
        <v>2776</v>
      </c>
      <c r="E105" s="491">
        <v>0.1</v>
      </c>
      <c r="F105" s="491">
        <v>15</v>
      </c>
    </row>
    <row r="106" spans="1:6" ht="26">
      <c r="A106" s="491">
        <v>34</v>
      </c>
      <c r="B106" s="3152"/>
      <c r="C106" s="482" t="s">
        <v>2777</v>
      </c>
      <c r="D106" s="482" t="s">
        <v>2778</v>
      </c>
      <c r="E106" s="491">
        <v>0.1</v>
      </c>
      <c r="F106" s="491">
        <v>15</v>
      </c>
    </row>
    <row r="107" spans="1:6" ht="26">
      <c r="A107" s="491">
        <v>35</v>
      </c>
      <c r="B107" s="3150" t="s">
        <v>469</v>
      </c>
      <c r="C107" s="491" t="s">
        <v>470</v>
      </c>
      <c r="D107" s="482" t="s">
        <v>2779</v>
      </c>
      <c r="E107" s="491">
        <v>0.15</v>
      </c>
      <c r="F107" s="491">
        <v>20</v>
      </c>
    </row>
    <row r="108" spans="1:6" ht="26">
      <c r="A108" s="491">
        <v>36</v>
      </c>
      <c r="B108" s="3151"/>
      <c r="C108" s="491" t="s">
        <v>2781</v>
      </c>
      <c r="D108" s="482" t="s">
        <v>2782</v>
      </c>
      <c r="E108" s="491">
        <v>0.15</v>
      </c>
      <c r="F108" s="491">
        <v>20</v>
      </c>
    </row>
    <row r="109" spans="1:6" ht="26">
      <c r="A109" s="491">
        <v>37</v>
      </c>
      <c r="B109" s="3151"/>
      <c r="C109" s="491" t="s">
        <v>2780</v>
      </c>
      <c r="D109" s="482" t="s">
        <v>2787</v>
      </c>
      <c r="E109" s="491">
        <v>0.15</v>
      </c>
      <c r="F109" s="491">
        <v>20</v>
      </c>
    </row>
    <row r="110" spans="1:6">
      <c r="A110" s="491">
        <v>38</v>
      </c>
      <c r="B110" s="3151"/>
      <c r="C110" s="491" t="s">
        <v>2783</v>
      </c>
      <c r="D110" s="482" t="s">
        <v>2788</v>
      </c>
      <c r="E110" s="491">
        <v>0.1</v>
      </c>
      <c r="F110" s="491">
        <v>15</v>
      </c>
    </row>
    <row r="111" spans="1:6" ht="26">
      <c r="A111" s="491">
        <v>39</v>
      </c>
      <c r="B111" s="3151"/>
      <c r="C111" s="491" t="s">
        <v>2784</v>
      </c>
      <c r="D111" s="482" t="s">
        <v>2785</v>
      </c>
      <c r="E111" s="491">
        <v>0.1</v>
      </c>
      <c r="F111" s="491">
        <v>15</v>
      </c>
    </row>
    <row r="112" spans="1:6" ht="26">
      <c r="A112" s="491">
        <v>40</v>
      </c>
      <c r="B112" s="3152"/>
      <c r="C112" s="491" t="s">
        <v>2786</v>
      </c>
      <c r="D112" s="482" t="s">
        <v>2789</v>
      </c>
      <c r="E112" s="491">
        <v>0.1</v>
      </c>
      <c r="F112" s="491">
        <v>15</v>
      </c>
    </row>
    <row r="113" spans="1:6" ht="26">
      <c r="A113" s="491">
        <v>41</v>
      </c>
      <c r="B113" s="3149" t="s">
        <v>471</v>
      </c>
      <c r="C113" s="491" t="s">
        <v>472</v>
      </c>
      <c r="D113" s="482" t="s">
        <v>473</v>
      </c>
      <c r="E113" s="491">
        <v>0.1</v>
      </c>
      <c r="F113" s="491">
        <v>15</v>
      </c>
    </row>
    <row r="114" spans="1:6">
      <c r="A114" s="491">
        <v>42</v>
      </c>
      <c r="B114" s="3149"/>
      <c r="C114" s="491" t="s">
        <v>474</v>
      </c>
      <c r="D114" s="482" t="s">
        <v>475</v>
      </c>
      <c r="E114" s="491">
        <v>0.1</v>
      </c>
      <c r="F114" s="491">
        <v>15</v>
      </c>
    </row>
    <row r="115" spans="1:6" ht="26">
      <c r="A115" s="491">
        <v>43</v>
      </c>
      <c r="B115" s="3149"/>
      <c r="C115" s="491" t="s">
        <v>2790</v>
      </c>
      <c r="D115" s="482" t="s">
        <v>2791</v>
      </c>
      <c r="E115" s="491">
        <v>0.1</v>
      </c>
      <c r="F115" s="491">
        <v>15</v>
      </c>
    </row>
    <row r="116" spans="1:6" ht="26">
      <c r="A116" s="491">
        <v>44</v>
      </c>
      <c r="B116" s="3150" t="s">
        <v>476</v>
      </c>
      <c r="C116" s="491" t="s">
        <v>2792</v>
      </c>
      <c r="D116" s="482" t="s">
        <v>2793</v>
      </c>
      <c r="E116" s="491">
        <v>0.1</v>
      </c>
      <c r="F116" s="491">
        <v>15</v>
      </c>
    </row>
    <row r="117" spans="1:6" ht="26">
      <c r="A117" s="491">
        <v>45</v>
      </c>
      <c r="B117" s="3152"/>
      <c r="C117" s="482" t="s">
        <v>2794</v>
      </c>
      <c r="D117" s="482" t="s">
        <v>2795</v>
      </c>
      <c r="E117" s="491">
        <v>0.1</v>
      </c>
      <c r="F117" s="491">
        <v>15</v>
      </c>
    </row>
    <row r="118" spans="1:6" ht="26">
      <c r="A118" s="491">
        <v>46</v>
      </c>
      <c r="B118" s="3150" t="s">
        <v>477</v>
      </c>
      <c r="C118" s="491" t="s">
        <v>2798</v>
      </c>
      <c r="D118" s="482" t="s">
        <v>2796</v>
      </c>
      <c r="E118" s="491">
        <v>0.1</v>
      </c>
      <c r="F118" s="491">
        <v>15</v>
      </c>
    </row>
    <row r="119" spans="1:6" ht="26">
      <c r="A119" s="491">
        <v>47</v>
      </c>
      <c r="B119" s="3152"/>
      <c r="C119" s="491" t="s">
        <v>2797</v>
      </c>
      <c r="D119" s="482" t="s">
        <v>2799</v>
      </c>
      <c r="E119" s="491">
        <v>0.1</v>
      </c>
      <c r="F119" s="491">
        <v>15</v>
      </c>
    </row>
    <row r="120" spans="1:6" ht="26">
      <c r="A120" s="491">
        <v>48</v>
      </c>
      <c r="B120" s="3150" t="s">
        <v>478</v>
      </c>
      <c r="C120" s="491" t="s">
        <v>479</v>
      </c>
      <c r="D120" s="482" t="s">
        <v>480</v>
      </c>
      <c r="E120" s="491">
        <v>0.1</v>
      </c>
      <c r="F120" s="491">
        <v>15</v>
      </c>
    </row>
    <row r="121" spans="1:6">
      <c r="A121" s="491">
        <v>49</v>
      </c>
      <c r="B121" s="3152"/>
      <c r="C121" s="491" t="s">
        <v>2800</v>
      </c>
      <c r="D121" s="482" t="s">
        <v>2801</v>
      </c>
      <c r="E121" s="491">
        <v>0.1</v>
      </c>
      <c r="F121" s="491">
        <v>15</v>
      </c>
    </row>
    <row r="122" spans="1:6" ht="26">
      <c r="A122" s="491">
        <v>50</v>
      </c>
      <c r="B122" s="3149" t="s">
        <v>481</v>
      </c>
      <c r="C122" s="491" t="s">
        <v>482</v>
      </c>
      <c r="D122" s="482" t="s">
        <v>483</v>
      </c>
      <c r="E122" s="491">
        <v>0.1</v>
      </c>
      <c r="F122" s="491">
        <v>15</v>
      </c>
    </row>
    <row r="123" spans="1:6" ht="26">
      <c r="A123" s="491">
        <v>51</v>
      </c>
      <c r="B123" s="3149"/>
      <c r="C123" s="491" t="s">
        <v>484</v>
      </c>
      <c r="D123" s="482" t="s">
        <v>485</v>
      </c>
      <c r="E123" s="491">
        <v>0.1</v>
      </c>
      <c r="F123" s="491">
        <v>15</v>
      </c>
    </row>
    <row r="124" spans="1:6" ht="26">
      <c r="A124" s="491">
        <v>52</v>
      </c>
      <c r="B124" s="3149" t="s">
        <v>486</v>
      </c>
      <c r="C124" s="491" t="s">
        <v>487</v>
      </c>
      <c r="D124" s="482" t="s">
        <v>2802</v>
      </c>
      <c r="E124" s="491">
        <v>0.1</v>
      </c>
      <c r="F124" s="491">
        <v>15</v>
      </c>
    </row>
    <row r="125" spans="1:6" ht="26">
      <c r="A125" s="491">
        <v>53</v>
      </c>
      <c r="B125" s="3149"/>
      <c r="C125" s="491" t="s">
        <v>488</v>
      </c>
      <c r="D125" s="482" t="s">
        <v>489</v>
      </c>
      <c r="E125" s="491">
        <v>0.1</v>
      </c>
      <c r="F125" s="491">
        <v>15</v>
      </c>
    </row>
    <row r="126" spans="1:6" ht="26">
      <c r="A126" s="491">
        <v>54</v>
      </c>
      <c r="B126" s="491" t="s">
        <v>490</v>
      </c>
      <c r="C126" s="491" t="s">
        <v>491</v>
      </c>
      <c r="D126" s="482" t="s">
        <v>492</v>
      </c>
      <c r="E126" s="491">
        <v>0.1</v>
      </c>
      <c r="F126" s="491">
        <v>15</v>
      </c>
    </row>
    <row r="127" spans="1:6">
      <c r="A127" s="491">
        <v>55</v>
      </c>
      <c r="B127" s="3149" t="s">
        <v>494</v>
      </c>
      <c r="C127" s="491" t="s">
        <v>497</v>
      </c>
      <c r="D127" s="482" t="s">
        <v>498</v>
      </c>
      <c r="E127" s="491">
        <v>0.1</v>
      </c>
      <c r="F127" s="491">
        <v>15</v>
      </c>
    </row>
    <row r="128" spans="1:6">
      <c r="A128" s="491">
        <v>56</v>
      </c>
      <c r="B128" s="3149"/>
      <c r="C128" s="491" t="s">
        <v>499</v>
      </c>
      <c r="D128" s="482" t="s">
        <v>500</v>
      </c>
      <c r="E128" s="491">
        <v>0.1</v>
      </c>
      <c r="F128" s="491">
        <v>15</v>
      </c>
    </row>
    <row r="129" spans="1:6" ht="26">
      <c r="A129" s="491">
        <v>57</v>
      </c>
      <c r="B129" s="3149"/>
      <c r="C129" s="491" t="s">
        <v>495</v>
      </c>
      <c r="D129" s="482" t="s">
        <v>496</v>
      </c>
      <c r="E129" s="491">
        <v>0.1</v>
      </c>
      <c r="F129" s="491">
        <v>15</v>
      </c>
    </row>
    <row r="130" spans="1:6" ht="26">
      <c r="A130" s="491">
        <v>58</v>
      </c>
      <c r="B130" s="3149" t="s">
        <v>493</v>
      </c>
      <c r="C130" s="491" t="s">
        <v>2803</v>
      </c>
      <c r="D130" s="482" t="s">
        <v>2804</v>
      </c>
      <c r="E130" s="491">
        <v>0.1</v>
      </c>
      <c r="F130" s="491">
        <v>15</v>
      </c>
    </row>
    <row r="131" spans="1:6" ht="26">
      <c r="A131" s="491">
        <v>59</v>
      </c>
      <c r="B131" s="3149"/>
      <c r="C131" s="491" t="s">
        <v>2805</v>
      </c>
      <c r="D131" s="482" t="s">
        <v>2806</v>
      </c>
      <c r="E131" s="491">
        <v>0.1</v>
      </c>
      <c r="F131" s="491">
        <v>15</v>
      </c>
    </row>
    <row r="132" spans="1:6" ht="26">
      <c r="A132" s="491">
        <v>60</v>
      </c>
      <c r="B132" s="3150" t="s">
        <v>504</v>
      </c>
      <c r="C132" s="491" t="s">
        <v>505</v>
      </c>
      <c r="D132" s="482" t="s">
        <v>2809</v>
      </c>
      <c r="E132" s="491">
        <v>0.1</v>
      </c>
      <c r="F132" s="491">
        <v>15</v>
      </c>
    </row>
    <row r="133" spans="1:6" ht="26">
      <c r="A133" s="491">
        <v>61</v>
      </c>
      <c r="B133" s="3152"/>
      <c r="C133" s="491" t="s">
        <v>2807</v>
      </c>
      <c r="D133" s="482" t="s">
        <v>2808</v>
      </c>
      <c r="E133" s="491">
        <v>0.1</v>
      </c>
      <c r="F133" s="491">
        <v>15</v>
      </c>
    </row>
    <row r="134" spans="1:6" ht="26">
      <c r="A134" s="491">
        <v>62</v>
      </c>
      <c r="B134" s="491" t="s">
        <v>501</v>
      </c>
      <c r="C134" s="491" t="s">
        <v>502</v>
      </c>
      <c r="D134" s="482" t="s">
        <v>503</v>
      </c>
      <c r="E134" s="491">
        <v>0.1</v>
      </c>
      <c r="F134" s="491">
        <v>15</v>
      </c>
    </row>
    <row r="135" spans="1:6" ht="26">
      <c r="A135" s="491">
        <v>63</v>
      </c>
      <c r="B135" s="3149" t="s">
        <v>506</v>
      </c>
      <c r="C135" s="491" t="s">
        <v>507</v>
      </c>
      <c r="D135" s="482" t="s">
        <v>2811</v>
      </c>
      <c r="E135" s="491">
        <v>0.1</v>
      </c>
      <c r="F135" s="491">
        <v>15</v>
      </c>
    </row>
    <row r="136" spans="1:6">
      <c r="A136" s="491">
        <v>64</v>
      </c>
      <c r="B136" s="3149"/>
      <c r="C136" s="491" t="s">
        <v>2810</v>
      </c>
      <c r="D136" s="482" t="s">
        <v>2812</v>
      </c>
      <c r="E136" s="491">
        <v>0.1</v>
      </c>
      <c r="F136" s="491">
        <v>15</v>
      </c>
    </row>
    <row r="137" spans="1:6" ht="26">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2"/>
  <cols>
    <col min="1" max="13" width="9" style="421"/>
    <col min="14" max="14" width="15" style="421" customWidth="1"/>
    <col min="15" max="16384" width="9" style="421"/>
  </cols>
  <sheetData>
    <row r="1" spans="1:20" s="415" customFormat="1" ht="15.5" thickBot="1">
      <c r="A1" s="413" t="s">
        <v>511</v>
      </c>
      <c r="B1" s="413"/>
      <c r="C1" s="413"/>
      <c r="D1" s="413"/>
      <c r="E1" s="413"/>
      <c r="F1" s="413"/>
      <c r="G1" s="413"/>
      <c r="H1" s="413"/>
      <c r="I1" s="413"/>
      <c r="J1" s="413"/>
      <c r="K1" s="413"/>
      <c r="L1" s="413"/>
      <c r="M1" s="413"/>
      <c r="N1" s="414"/>
    </row>
    <row r="2" spans="1:20">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2.5"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5.5" thickBot="1">
      <c r="A93" s="413" t="s">
        <v>512</v>
      </c>
      <c r="B93" s="413"/>
      <c r="C93" s="413"/>
      <c r="D93" s="413"/>
      <c r="E93" s="413"/>
      <c r="F93" s="413"/>
      <c r="G93" s="413"/>
      <c r="H93" s="413"/>
      <c r="I93" s="413"/>
      <c r="J93" s="413"/>
      <c r="K93" s="413"/>
      <c r="L93" s="413"/>
      <c r="M93" s="413"/>
      <c r="N93" s="414"/>
    </row>
    <row r="94" spans="1:20">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SUMPRODUCT((A95:A184=ROUNDDOWN(基准地价修正!G3,1))*(B94:M94=基准地价修正!G2)*(B95:M184))</f>
        <v>1.2501</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2.5"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5.5" thickBot="1">
      <c r="A185" s="413" t="s">
        <v>3074</v>
      </c>
      <c r="B185" s="413"/>
      <c r="C185" s="413"/>
      <c r="D185" s="413"/>
      <c r="E185" s="413"/>
      <c r="F185" s="413"/>
      <c r="G185" s="413"/>
      <c r="H185" s="413"/>
      <c r="I185" s="413"/>
      <c r="J185" s="413"/>
      <c r="K185" s="413"/>
      <c r="L185" s="413"/>
      <c r="M185" s="413"/>
    </row>
    <row r="186" spans="1:20">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2.5"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5.5" thickBot="1">
      <c r="A277" s="413" t="s">
        <v>513</v>
      </c>
      <c r="B277" s="413"/>
      <c r="C277" s="413"/>
      <c r="D277" s="413"/>
      <c r="E277" s="413"/>
      <c r="F277" s="413"/>
      <c r="G277" s="413"/>
      <c r="H277" s="413"/>
      <c r="I277" s="413"/>
      <c r="J277" s="413"/>
      <c r="K277" s="413"/>
      <c r="L277" s="413"/>
      <c r="M277" s="413"/>
    </row>
    <row r="278" spans="1:21">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2.5"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5.5" thickBot="1">
      <c r="A369" s="413" t="s">
        <v>2898</v>
      </c>
    </row>
    <row r="370" spans="1:20">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SUMPRODUCT((A371:A460=ROUNDDOWN(基准地价修正!G3,1))*(B370:M370=基准地价修正!G2)*(B371:M460))</f>
        <v>1.1839999999999999</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2.5"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
  <cols>
    <col min="1" max="1" width="23.36328125" style="982" customWidth="1"/>
    <col min="2" max="2" width="12.453125" style="982" customWidth="1"/>
    <col min="3" max="3" width="12.08984375" style="982" customWidth="1"/>
    <col min="4" max="4" width="14.08984375" style="982" customWidth="1"/>
    <col min="5" max="5" width="12.453125" style="982" customWidth="1"/>
    <col min="6" max="16384" width="9" style="982"/>
  </cols>
  <sheetData>
    <row r="1" spans="1:16" ht="21">
      <c r="A1" s="1592" t="s">
        <v>2339</v>
      </c>
      <c r="B1" s="899"/>
      <c r="C1" s="899"/>
      <c r="D1" s="899"/>
      <c r="E1" s="899"/>
      <c r="F1" s="2062"/>
      <c r="G1" s="2062"/>
      <c r="H1" s="2062"/>
      <c r="I1" s="2062"/>
      <c r="J1" s="2062"/>
      <c r="K1" s="2062"/>
      <c r="L1" s="2062"/>
      <c r="M1" s="2062"/>
      <c r="N1" s="2062"/>
      <c r="O1" s="2062"/>
      <c r="P1" s="2062"/>
    </row>
    <row r="2" spans="1:16" ht="15.5">
      <c r="A2" s="2420" t="s">
        <v>2331</v>
      </c>
      <c r="B2" s="1608">
        <f ca="1">SUMIF(B6:B13,"&lt;&gt;#ref!",B6:B13)</f>
        <v>14436</v>
      </c>
      <c r="C2" s="2420" t="s">
        <v>2332</v>
      </c>
      <c r="D2" s="2420" t="s">
        <v>2333</v>
      </c>
      <c r="E2" s="2343">
        <f ca="1">SUMIF(E6:E13,"&lt;&gt;#ref!",E6:E13)</f>
        <v>5118.4833333333336</v>
      </c>
      <c r="F2" s="2062"/>
      <c r="G2" s="2062"/>
      <c r="H2" s="2062"/>
      <c r="I2" s="2062"/>
      <c r="J2" s="2062"/>
      <c r="K2" s="2062"/>
      <c r="L2" s="2062"/>
      <c r="M2" s="2062"/>
      <c r="N2" s="2062"/>
      <c r="O2" s="2062"/>
      <c r="P2" s="2062"/>
    </row>
    <row r="3" spans="1:16" ht="15.5">
      <c r="A3" s="2420" t="s">
        <v>2334</v>
      </c>
      <c r="B3" s="1608">
        <f ca="1">ROUND(B2*10000/E2,0)</f>
        <v>28204</v>
      </c>
      <c r="C3" s="2420" t="s">
        <v>2340</v>
      </c>
      <c r="D3" s="2062"/>
      <c r="E3" s="2062"/>
      <c r="F3" s="2062"/>
      <c r="G3" s="2062"/>
      <c r="H3" s="2062"/>
      <c r="I3" s="2062"/>
      <c r="J3" s="2062"/>
      <c r="K3" s="2062"/>
      <c r="L3" s="2062"/>
      <c r="M3" s="2062"/>
      <c r="N3" s="2062"/>
      <c r="O3" s="2062"/>
      <c r="P3" s="2062"/>
    </row>
    <row r="4" spans="1:16" ht="15.5">
      <c r="A4" s="2421"/>
      <c r="B4" s="2062"/>
      <c r="C4" s="2062"/>
      <c r="D4" s="2062"/>
      <c r="E4" s="2062"/>
      <c r="F4" s="2062"/>
      <c r="G4" s="2062"/>
      <c r="H4" s="2062"/>
      <c r="I4" s="2062"/>
      <c r="J4" s="2062"/>
      <c r="K4" s="2062"/>
      <c r="L4" s="2062"/>
      <c r="M4" s="2062"/>
      <c r="N4" s="2062"/>
      <c r="O4" s="2062"/>
      <c r="P4" s="2062"/>
    </row>
    <row r="5" spans="1:16" ht="30">
      <c r="A5" s="2422" t="s">
        <v>2335</v>
      </c>
      <c r="B5" s="2423" t="s">
        <v>2336</v>
      </c>
      <c r="C5" s="2424"/>
      <c r="D5" s="2062"/>
      <c r="E5" s="2425" t="s">
        <v>2337</v>
      </c>
      <c r="F5" s="2062"/>
      <c r="G5" s="2062"/>
      <c r="H5" s="2062"/>
      <c r="I5" s="2062"/>
      <c r="J5" s="2062"/>
      <c r="K5" s="2062"/>
      <c r="L5" s="2062"/>
      <c r="M5" s="2062"/>
      <c r="N5" s="2062"/>
      <c r="O5" s="2062"/>
      <c r="P5" s="2062"/>
    </row>
    <row r="6" spans="1:16" ht="15.5">
      <c r="A6" s="2426" t="s">
        <v>2338</v>
      </c>
      <c r="B6" s="1608">
        <f ca="1">SUMIF(INDIRECT("'"&amp;A6&amp;"'"&amp;"!A:A"),"总价",INDIRECT("'"&amp;A6&amp;"'"&amp;"!B:B"))</f>
        <v>14436</v>
      </c>
      <c r="C6" s="2420" t="s">
        <v>2332</v>
      </c>
      <c r="D6" s="2062"/>
      <c r="E6" s="2343">
        <f ca="1">SUMIF(INDIRECT("'"&amp;A6&amp;"'"&amp;"!C:C"),"建筑面积",INDIRECT("'"&amp;A6&amp;"'"&amp;"!D:D"))</f>
        <v>5118.4833333333336</v>
      </c>
      <c r="F6" s="2062"/>
      <c r="G6" s="2062"/>
      <c r="H6" s="2062"/>
      <c r="I6" s="2062"/>
      <c r="J6" s="2062"/>
      <c r="K6" s="2062"/>
      <c r="L6" s="2062"/>
      <c r="M6" s="2062"/>
      <c r="N6" s="2062"/>
      <c r="O6" s="2062"/>
      <c r="P6" s="2062"/>
    </row>
    <row r="7" spans="1:16" ht="15.5">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5.5">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5.5">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5.5">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5.5">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5.5">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5.5">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5"/>
  <cols>
    <col min="1" max="1" width="9" style="517"/>
    <col min="2" max="7" width="9" style="517" customWidth="1"/>
    <col min="8" max="8" width="9" style="2449"/>
    <col min="9" max="9" width="9" style="517"/>
    <col min="10" max="13" width="9" style="517" customWidth="1"/>
    <col min="14" max="14" width="2.453125" style="2448" customWidth="1"/>
    <col min="15" max="15" width="9" style="2449" customWidth="1"/>
    <col min="16" max="18" width="9" style="517" customWidth="1"/>
    <col min="19" max="19" width="2.7265625" style="2448" customWidth="1"/>
    <col min="20" max="20" width="7.08984375" style="2449" customWidth="1"/>
    <col min="21" max="23" width="7.08984375" style="517" customWidth="1"/>
    <col min="24" max="24" width="2.453125" style="2448" customWidth="1"/>
    <col min="25" max="30" width="9.7265625" style="517" customWidth="1"/>
    <col min="31" max="31" width="2.453125" style="2448" customWidth="1"/>
    <col min="32" max="37" width="9.453125" style="517" customWidth="1"/>
    <col min="38" max="16384" width="9" style="517"/>
  </cols>
  <sheetData>
    <row r="1" spans="1:37" s="521" customFormat="1" ht="13">
      <c r="B1" s="3163" t="s">
        <v>670</v>
      </c>
      <c r="C1" s="3163"/>
      <c r="D1" s="3163"/>
      <c r="E1" s="3163"/>
      <c r="F1" s="3163"/>
      <c r="G1" s="3163"/>
      <c r="H1" s="3162" t="s">
        <v>671</v>
      </c>
      <c r="I1" s="3162"/>
      <c r="J1" s="3162"/>
      <c r="K1" s="3162"/>
      <c r="L1" s="3162"/>
      <c r="M1" s="3162"/>
      <c r="N1" s="2427"/>
      <c r="O1" s="3162" t="s">
        <v>672</v>
      </c>
      <c r="P1" s="3162"/>
      <c r="Q1" s="3162"/>
      <c r="R1" s="3162"/>
      <c r="S1" s="2427"/>
      <c r="T1" s="3162" t="s">
        <v>673</v>
      </c>
      <c r="U1" s="3162"/>
      <c r="V1" s="3162"/>
      <c r="W1" s="3162"/>
      <c r="X1" s="2427"/>
      <c r="Y1" s="3161" t="s">
        <v>674</v>
      </c>
      <c r="Z1" s="3162"/>
      <c r="AA1" s="3162"/>
      <c r="AB1" s="3162"/>
      <c r="AC1" s="3162"/>
      <c r="AD1" s="3162"/>
      <c r="AE1" s="2427"/>
      <c r="AF1" s="3161" t="s">
        <v>675</v>
      </c>
      <c r="AG1" s="3162"/>
      <c r="AH1" s="3162"/>
      <c r="AI1" s="3162"/>
      <c r="AJ1" s="3162"/>
      <c r="AK1" s="3162"/>
    </row>
    <row r="2" spans="1:37" s="2428" customFormat="1" ht="14.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
      <c r="A3" s="2437" t="s">
        <v>2372</v>
      </c>
      <c r="B3" s="2438"/>
      <c r="C3" s="2438"/>
      <c r="D3" s="2439"/>
      <c r="E3" s="2439"/>
      <c r="F3" s="2439"/>
      <c r="G3" s="2438"/>
      <c r="H3" s="2440"/>
      <c r="J3" s="2442">
        <f>ROUND(AVERAGE($J4:$J41),2)</f>
        <v>1.51</v>
      </c>
      <c r="K3" s="2442">
        <f>ROUND(AVERAGE($K4:$K41),2)</f>
        <v>0.93</v>
      </c>
      <c r="L3" s="2442">
        <f>ROUND(AVERAGE($L4:$L41),2)</f>
        <v>1.67</v>
      </c>
      <c r="M3" s="2442">
        <f>ROUND(AVERAGE($M4:$M41),2)</f>
        <v>1.1200000000000001</v>
      </c>
      <c r="N3" s="2427"/>
      <c r="O3" s="2440"/>
      <c r="S3" s="2427"/>
      <c r="T3" s="2440"/>
      <c r="X3" s="2443"/>
      <c r="Y3" s="513">
        <f>ROUND(SUMPRODUCT(PRODUCT(1+O3:O$12)),4)</f>
        <v>1.0430999999999999</v>
      </c>
      <c r="Z3" s="514">
        <f>ROUND(SUMPRODUCT(PRODUCT(1+P3:P$12)),4)</f>
        <v>1.0197000000000001</v>
      </c>
      <c r="AA3" s="515">
        <f t="shared" ref="AA3" si="0">Z3</f>
        <v>1.0197000000000001</v>
      </c>
      <c r="AB3" s="513">
        <f>AA3</f>
        <v>1.0197000000000001</v>
      </c>
      <c r="AC3" s="516">
        <f>ROUND(SUMPRODUCT(PRODUCT(1+Q3:Q$12)),4)</f>
        <v>1.0468999999999999</v>
      </c>
      <c r="AD3" s="513">
        <f>ROUND(SUMPRODUCT(PRODUCT(1+R3:R$12)),4)</f>
        <v>1.0382</v>
      </c>
      <c r="AE3" s="2427"/>
      <c r="AF3" s="513">
        <f>ROUND(AVERAGE(J3:J$13)/100,4)</f>
        <v>6.7000000000000002E-3</v>
      </c>
      <c r="AG3" s="514">
        <f>ROUND(AVERAGE(K3:K$13)/100,4)</f>
        <v>3.0999999999999999E-3</v>
      </c>
      <c r="AH3" s="515">
        <f>AG3</f>
        <v>3.0999999999999999E-3</v>
      </c>
      <c r="AI3" s="513">
        <f>AH3</f>
        <v>3.0999999999999999E-3</v>
      </c>
      <c r="AJ3" s="516">
        <f>ROUND(AVERAGE(L3:L$13)/100,4)</f>
        <v>7.4000000000000003E-3</v>
      </c>
      <c r="AK3" s="513">
        <f>ROUND(AVERAGE(M3:M$13)/100,4)</f>
        <v>5.1999999999999998E-3</v>
      </c>
    </row>
    <row r="4" spans="1:37" s="521" customFormat="1" ht="14">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ht="13">
      <c r="A5" s="2447" t="s">
        <v>3069</v>
      </c>
      <c r="B5" s="2710">
        <f t="shared" ref="B5" si="1">B6*(1+O5)</f>
        <v>519.39640548169621</v>
      </c>
      <c r="C5" s="2710">
        <f t="shared" ref="C5" si="2">C6*(1+P5)</f>
        <v>354.63833872448288</v>
      </c>
      <c r="D5" s="2710">
        <f t="shared" ref="D5" si="3">C5</f>
        <v>354.63833872448288</v>
      </c>
      <c r="E5" s="2710">
        <f>D5</f>
        <v>354.63833872448288</v>
      </c>
      <c r="F5" s="2710">
        <f t="shared" ref="F5" si="4">F6*(1+Q5)</f>
        <v>752.17356893558372</v>
      </c>
      <c r="G5" s="2710">
        <f t="shared" ref="G5" si="5">G6*(1+R5)</f>
        <v>341.6835991313157</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1.0430999999999999</v>
      </c>
      <c r="Z5" s="518">
        <f>ROUND(IF(项目基本情况!$B$8="出让",SUMPRODUCT(PRODUCT(1+P5:P$13)),SUMPRODUCT(PRODUCT(1+P5:P$12))),4)</f>
        <v>1.0197000000000001</v>
      </c>
      <c r="AA5" s="519">
        <f t="shared" ref="AA5" si="10">Z5</f>
        <v>1.0197000000000001</v>
      </c>
      <c r="AB5" s="517">
        <f>AA5</f>
        <v>1.0197000000000001</v>
      </c>
      <c r="AC5" s="520">
        <f>ROUND(IF(项目基本情况!$B$8="出让",SUMPRODUCT(PRODUCT(1+Q5:Q$13)),SUMPRODUCT(PRODUCT(1+Q5:Q$12))),4)</f>
        <v>1.0468999999999999</v>
      </c>
      <c r="AD5" s="517">
        <f>ROUND(IF(项目基本情况!$B$8="出让",SUMPRODUCT(PRODUCT(1+R5:R$13)),SUMPRODUCT(PRODUCT(1+R5:R$12))),4)</f>
        <v>1.0382</v>
      </c>
      <c r="AE5" s="2448"/>
      <c r="AF5" s="517">
        <f>ROUND(AVERAGEIF(J5:J$13,"&lt;&gt;0")/100,4)</f>
        <v>8.6999999999999994E-3</v>
      </c>
      <c r="AG5" s="518">
        <f>ROUND(AVERAGEIF(K5:K$13,"&lt;&gt;0")/100,4)</f>
        <v>3.5000000000000001E-3</v>
      </c>
      <c r="AH5" s="519">
        <f>AG5</f>
        <v>3.5000000000000001E-3</v>
      </c>
      <c r="AI5" s="517">
        <f t="shared" ref="AI5:AI13" si="11">AH5</f>
        <v>3.5000000000000001E-3</v>
      </c>
      <c r="AJ5" s="520">
        <f>ROUND(AVERAGEIF(L5:L$13,"&lt;&gt;0")/100,4)</f>
        <v>9.4999999999999998E-3</v>
      </c>
      <c r="AK5" s="517">
        <f>ROUND(AVERAGE(M5:M$13)/100,4)</f>
        <v>4.5999999999999999E-3</v>
      </c>
    </row>
    <row r="6" spans="1:37" s="2450" customFormat="1" ht="13">
      <c r="A6" s="2451" t="s">
        <v>3068</v>
      </c>
      <c r="B6" s="2711">
        <f t="shared" ref="B6" si="12">B7*(1+O6)</f>
        <v>519.39640548169621</v>
      </c>
      <c r="C6" s="2711">
        <f t="shared" ref="C6" si="13">C7*(1+P6)</f>
        <v>354.63833872448288</v>
      </c>
      <c r="D6" s="2711">
        <f t="shared" ref="D6" si="14">C6</f>
        <v>354.63833872448288</v>
      </c>
      <c r="E6" s="2711">
        <f t="shared" ref="E6:E13" si="15">B6</f>
        <v>519.39640548169621</v>
      </c>
      <c r="F6" s="2711">
        <f t="shared" ref="F6" si="16">F7*(1+Q6)</f>
        <v>752.17356893558372</v>
      </c>
      <c r="G6" s="2711">
        <f t="shared" ref="G6" si="17">G7*(1+R6)</f>
        <v>341.6835991313157</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1.0430999999999999</v>
      </c>
      <c r="Z6" s="522">
        <f>ROUND(IF(项目基本情况!$B$8="出让",SUMPRODUCT(PRODUCT(1+P6:P$13)),SUMPRODUCT(PRODUCT(1+P6:P$12))),4)</f>
        <v>1.0197000000000001</v>
      </c>
      <c r="AA6" s="523">
        <f t="shared" ref="AA6" si="22">Z6</f>
        <v>1.0197000000000001</v>
      </c>
      <c r="AB6" s="521">
        <f t="shared" ref="AB6:AB12" si="23">Y6</f>
        <v>1.0430999999999999</v>
      </c>
      <c r="AC6" s="524">
        <f>ROUND(IF(项目基本情况!$B$8="出让",SUMPRODUCT(PRODUCT(1+Q6:Q$13)),SUMPRODUCT(PRODUCT(1+Q6:Q$12))),4)</f>
        <v>1.0468999999999999</v>
      </c>
      <c r="AD6" s="521">
        <f>ROUND(IF(项目基本情况!$B$8="出让",SUMPRODUCT(PRODUCT(1+R6:R$13)),SUMPRODUCT(PRODUCT(1+R6:R$12))),4)</f>
        <v>1.0382</v>
      </c>
      <c r="AE6" s="2427"/>
      <c r="AF6" s="517">
        <f>ROUND(AVERAGEIF(J6:J$13,"&lt;&gt;0")/100,4)</f>
        <v>8.6999999999999994E-3</v>
      </c>
      <c r="AG6" s="522">
        <f>ROUND(AVERAGEIF(K6:K$13,"&lt;&gt;0")/100,4)</f>
        <v>3.5000000000000001E-3</v>
      </c>
      <c r="AH6" s="523">
        <f t="shared" ref="AH6:AH13" si="24">AG6</f>
        <v>3.5000000000000001E-3</v>
      </c>
      <c r="AI6" s="521">
        <f t="shared" si="11"/>
        <v>3.5000000000000001E-3</v>
      </c>
      <c r="AJ6" s="524">
        <f>ROUND(AVERAGEIF(L6:L$13,"&lt;&gt;0")/100,4)</f>
        <v>9.4999999999999998E-3</v>
      </c>
      <c r="AK6" s="521">
        <f>ROUND(AVERAGE(M6:M$13)/100,4)</f>
        <v>5.1999999999999998E-3</v>
      </c>
    </row>
    <row r="7" spans="1:37" s="2450" customFormat="1" ht="13">
      <c r="A7" s="2447" t="s">
        <v>3067</v>
      </c>
      <c r="B7" s="2710">
        <f t="shared" ref="B7" si="25">B8*(1+O7)</f>
        <v>519.39640548169621</v>
      </c>
      <c r="C7" s="2710">
        <f t="shared" ref="C7" si="26">C8*(1+P7)</f>
        <v>354.63833872448288</v>
      </c>
      <c r="D7" s="2710">
        <f t="shared" ref="D7" si="27">C7</f>
        <v>354.63833872448288</v>
      </c>
      <c r="E7" s="2710">
        <f t="shared" si="15"/>
        <v>519.39640548169621</v>
      </c>
      <c r="F7" s="2710">
        <f t="shared" ref="F7" si="28">F8*(1+Q7)</f>
        <v>752.17356893558372</v>
      </c>
      <c r="G7" s="2710">
        <f t="shared" ref="G7" si="29">G8*(1+R7)</f>
        <v>341.6835991313157</v>
      </c>
      <c r="H7" s="511">
        <v>2022</v>
      </c>
      <c r="I7" s="492">
        <v>3</v>
      </c>
      <c r="J7" s="493">
        <v>0</v>
      </c>
      <c r="K7" s="493">
        <v>0</v>
      </c>
      <c r="L7" s="493">
        <v>0</v>
      </c>
      <c r="M7" s="494">
        <v>0</v>
      </c>
      <c r="N7" s="2448"/>
      <c r="O7" s="2449">
        <f t="shared" ref="O7" si="30">J7/100</f>
        <v>0</v>
      </c>
      <c r="P7" s="517">
        <f t="shared" ref="P7" si="31">K7/100</f>
        <v>0</v>
      </c>
      <c r="Q7" s="517">
        <f t="shared" ref="Q7" si="32">L7/100</f>
        <v>0</v>
      </c>
      <c r="R7" s="517">
        <f t="shared" ref="R7" si="33">M7/100</f>
        <v>0</v>
      </c>
      <c r="S7" s="2448"/>
      <c r="T7" s="2449"/>
      <c r="U7" s="517"/>
      <c r="V7" s="517"/>
      <c r="W7" s="517"/>
      <c r="X7" s="2448"/>
      <c r="Y7" s="517">
        <f>ROUND(IF(项目基本情况!$B$8="出让",SUMPRODUCT(PRODUCT(1+O7:O$13)),SUMPRODUCT(PRODUCT(1+O7:O$12))),4)</f>
        <v>1.0430999999999999</v>
      </c>
      <c r="Z7" s="518">
        <f>ROUND(IF(项目基本情况!$B$8="出让",SUMPRODUCT(PRODUCT(1+P7:P$13)),SUMPRODUCT(PRODUCT(1+P7:P$12))),4)</f>
        <v>1.0197000000000001</v>
      </c>
      <c r="AA7" s="519">
        <f t="shared" ref="AA7" si="34">Z7</f>
        <v>1.0197000000000001</v>
      </c>
      <c r="AB7" s="517">
        <f t="shared" si="23"/>
        <v>1.0430999999999999</v>
      </c>
      <c r="AC7" s="520">
        <f>ROUND(IF(项目基本情况!$B$8="出让",SUMPRODUCT(PRODUCT(1+Q7:Q$13)),SUMPRODUCT(PRODUCT(1+Q7:Q$12))),4)</f>
        <v>1.0468999999999999</v>
      </c>
      <c r="AD7" s="517">
        <f>ROUND(IF(项目基本情况!$B$8="出让",SUMPRODUCT(PRODUCT(1+R7:R$13)),SUMPRODUCT(PRODUCT(1+R7:R$12))),4)</f>
        <v>1.0382</v>
      </c>
      <c r="AE7" s="2448"/>
      <c r="AF7" s="517">
        <f>ROUND(AVERAGEIF(J7:J$13,"&lt;&gt;0")/100,4)</f>
        <v>8.6999999999999994E-3</v>
      </c>
      <c r="AG7" s="518">
        <f>ROUND(AVERAGEIF(K7:K$13,"&lt;&gt;0")/100,4)</f>
        <v>3.5000000000000001E-3</v>
      </c>
      <c r="AH7" s="519">
        <f t="shared" si="24"/>
        <v>3.5000000000000001E-3</v>
      </c>
      <c r="AI7" s="517">
        <f t="shared" si="11"/>
        <v>3.5000000000000001E-3</v>
      </c>
      <c r="AJ7" s="520">
        <f>ROUND(AVERAGEIF(L7:L$13,"&lt;&gt;0")/100,4)</f>
        <v>9.4999999999999998E-3</v>
      </c>
      <c r="AK7" s="517">
        <f>ROUND(AVERAGE(M7:M$13)/100,4)</f>
        <v>5.8999999999999999E-3</v>
      </c>
    </row>
    <row r="8" spans="1:37" s="2454" customFormat="1" ht="13">
      <c r="A8" s="2452" t="s">
        <v>3066</v>
      </c>
      <c r="B8" s="2712">
        <f t="shared" ref="B8" si="35">B9*(1+O8)</f>
        <v>519.39640548169621</v>
      </c>
      <c r="C8" s="2712">
        <f t="shared" ref="C8" si="36">C9*(1+P8)</f>
        <v>354.63833872448288</v>
      </c>
      <c r="D8" s="2712">
        <f t="shared" ref="D8" si="37">C8</f>
        <v>354.63833872448288</v>
      </c>
      <c r="E8" s="2712">
        <f t="shared" si="15"/>
        <v>519.39640548169621</v>
      </c>
      <c r="F8" s="2712">
        <f t="shared" ref="F8" si="38">F9*(1+Q8)</f>
        <v>752.17356893558372</v>
      </c>
      <c r="G8" s="2712">
        <f t="shared" ref="G8" si="39">G9*(1+R8)</f>
        <v>341.6835991313157</v>
      </c>
      <c r="H8" s="499">
        <v>2022</v>
      </c>
      <c r="I8" s="500">
        <v>2</v>
      </c>
      <c r="J8" s="501">
        <v>0.93</v>
      </c>
      <c r="K8" s="501">
        <v>0.15</v>
      </c>
      <c r="L8" s="501">
        <v>1.05</v>
      </c>
      <c r="M8" s="502">
        <v>1.08</v>
      </c>
      <c r="N8" s="525"/>
      <c r="O8" s="2453">
        <f t="shared" ref="O8" si="40">J8/100</f>
        <v>9.300000000000001E-3</v>
      </c>
      <c r="P8" s="525">
        <f t="shared" ref="P8" si="41">K8/100</f>
        <v>1.5E-3</v>
      </c>
      <c r="Q8" s="525">
        <f t="shared" ref="Q8" si="42">L8/100</f>
        <v>1.0500000000000001E-2</v>
      </c>
      <c r="R8" s="525">
        <f t="shared" ref="R8" si="43">M8/100</f>
        <v>1.0800000000000001E-2</v>
      </c>
      <c r="S8" s="525"/>
      <c r="T8" s="2453"/>
      <c r="U8" s="525"/>
      <c r="V8" s="525"/>
      <c r="W8" s="525"/>
      <c r="X8" s="525"/>
      <c r="Y8" s="525">
        <f>ROUND(IF(项目基本情况!$B$8="出让",SUMPRODUCT(PRODUCT(1+O8:O$13)),SUMPRODUCT(PRODUCT(1+O8:O$12))),4)</f>
        <v>1.0430999999999999</v>
      </c>
      <c r="Z8" s="526">
        <f>ROUND(IF(项目基本情况!$B$8="出让",SUMPRODUCT(PRODUCT(1+P8:P$13)),SUMPRODUCT(PRODUCT(1+P8:P$12))),4)</f>
        <v>1.0197000000000001</v>
      </c>
      <c r="AA8" s="527">
        <f t="shared" ref="AA8" si="44">Z8</f>
        <v>1.0197000000000001</v>
      </c>
      <c r="AB8" s="525">
        <f t="shared" si="23"/>
        <v>1.0430999999999999</v>
      </c>
      <c r="AC8" s="528">
        <f>ROUND(IF(项目基本情况!$B$8="出让",SUMPRODUCT(PRODUCT(1+Q8:Q$13)),SUMPRODUCT(PRODUCT(1+Q8:Q$12))),4)</f>
        <v>1.0468999999999999</v>
      </c>
      <c r="AD8" s="525">
        <f>ROUND(IF(项目基本情况!$B$8="出让",SUMPRODUCT(PRODUCT(1+R8:R$13)),SUMPRODUCT(PRODUCT(1+R8:R$12))),4)</f>
        <v>1.0382</v>
      </c>
      <c r="AE8" s="525"/>
      <c r="AF8" s="525">
        <f>ROUND(AVERAGEIF(J8:J$13,"&lt;&gt;0")/100,4)</f>
        <v>8.6999999999999994E-3</v>
      </c>
      <c r="AG8" s="526">
        <f>ROUND(AVERAGEIF(K8:K$13,"&lt;&gt;0")/100,4)</f>
        <v>3.5000000000000001E-3</v>
      </c>
      <c r="AH8" s="527">
        <f t="shared" si="24"/>
        <v>3.5000000000000001E-3</v>
      </c>
      <c r="AI8" s="525">
        <f t="shared" si="11"/>
        <v>3.5000000000000001E-3</v>
      </c>
      <c r="AJ8" s="528">
        <f>ROUND(AVERAGEIF(L8:L$13,"&lt;&gt;0")/100,4)</f>
        <v>9.4999999999999998E-3</v>
      </c>
      <c r="AK8" s="525">
        <f>ROUND(AVERAGE(M8:M$13)/100,4)</f>
        <v>6.8999999999999999E-3</v>
      </c>
    </row>
    <row r="9" spans="1:37" s="2450" customFormat="1" ht="13">
      <c r="A9" s="2447" t="s">
        <v>3093</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ht="13">
      <c r="A10" s="2447" t="s">
        <v>3076</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ht="13">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ht="13">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3.5"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4"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3.5"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3.5"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3.5"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3.5"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3.5"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3.5"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3.5"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3.5"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59">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59"/>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59"/>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68"/>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3.5" thickBot="1">
      <c r="A26" s="2451" t="s">
        <v>2369</v>
      </c>
      <c r="B26" s="2711">
        <v>439</v>
      </c>
      <c r="C26" s="2711">
        <v>327</v>
      </c>
      <c r="D26" s="2711">
        <f>C26</f>
        <v>327</v>
      </c>
      <c r="E26" s="2711"/>
      <c r="F26" s="2711">
        <v>627</v>
      </c>
      <c r="G26" s="2711">
        <v>283</v>
      </c>
      <c r="H26" s="3164">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59"/>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59"/>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68"/>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3.5" thickBot="1">
      <c r="A30" s="2451" t="s">
        <v>130</v>
      </c>
      <c r="B30" s="2711">
        <v>392</v>
      </c>
      <c r="C30" s="2711">
        <v>302</v>
      </c>
      <c r="D30" s="2711">
        <f>C30</f>
        <v>302</v>
      </c>
      <c r="E30" s="2711"/>
      <c r="F30" s="2711">
        <v>553</v>
      </c>
      <c r="G30" s="2711">
        <v>266</v>
      </c>
      <c r="H30" s="3164">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3.5"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59"/>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3.5"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59"/>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3.5"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60"/>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3.5" thickBot="1">
      <c r="A34" s="2451" t="s">
        <v>127</v>
      </c>
      <c r="B34" s="2711">
        <v>333</v>
      </c>
      <c r="C34" s="2711">
        <v>277</v>
      </c>
      <c r="D34" s="2711">
        <f t="shared" si="210"/>
        <v>277</v>
      </c>
      <c r="E34" s="2711"/>
      <c r="F34" s="2711">
        <v>459</v>
      </c>
      <c r="G34" s="2711">
        <v>249</v>
      </c>
      <c r="H34" s="3158">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3.5"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59"/>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3.5"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59"/>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3.5"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60"/>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3.5"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3.5"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3.5"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ht="13">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3.5" hidden="1" thickBot="1">
      <c r="A42" s="2447" t="s">
        <v>682</v>
      </c>
      <c r="B42" s="2467">
        <v>299</v>
      </c>
      <c r="C42" s="2467">
        <v>252</v>
      </c>
      <c r="D42" s="2467">
        <f t="shared" si="210"/>
        <v>252</v>
      </c>
      <c r="E42" s="2467"/>
      <c r="F42" s="2467">
        <v>409</v>
      </c>
      <c r="G42" s="2468">
        <v>227</v>
      </c>
      <c r="H42" s="3165">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66"/>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t="13"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66"/>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67"/>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3.5" hidden="1" thickBot="1">
      <c r="A46" s="2447" t="s">
        <v>686</v>
      </c>
      <c r="B46" s="2479">
        <v>278</v>
      </c>
      <c r="C46" s="2479">
        <v>234</v>
      </c>
      <c r="D46" s="2479">
        <f t="shared" si="210"/>
        <v>234</v>
      </c>
      <c r="E46" s="2479"/>
      <c r="F46" s="2479">
        <v>379</v>
      </c>
      <c r="G46" s="2480">
        <v>220</v>
      </c>
      <c r="H46" s="3158">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59"/>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59"/>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3" hidden="1" thickBot="1">
      <c r="A49" s="2447" t="s">
        <v>689</v>
      </c>
      <c r="B49" s="517">
        <f>B48/(1+O48)</f>
        <v>275.19025476197027</v>
      </c>
      <c r="C49" s="2483">
        <v>232</v>
      </c>
      <c r="D49" s="2483">
        <f t="shared" si="210"/>
        <v>232</v>
      </c>
      <c r="E49" s="2483"/>
      <c r="F49" s="517">
        <f t="shared" si="219"/>
        <v>375.65990977608692</v>
      </c>
      <c r="G49" s="517">
        <f t="shared" si="219"/>
        <v>214.12518283971252</v>
      </c>
      <c r="H49" s="3160"/>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3.5" hidden="1" thickBot="1">
      <c r="A50" s="2447" t="s">
        <v>690</v>
      </c>
      <c r="B50" s="2467">
        <v>275</v>
      </c>
      <c r="C50" s="2467">
        <v>232</v>
      </c>
      <c r="D50" s="2467">
        <f t="shared" si="210"/>
        <v>232</v>
      </c>
      <c r="E50" s="2467"/>
      <c r="F50" s="2467">
        <v>376</v>
      </c>
      <c r="G50" s="2468">
        <v>213</v>
      </c>
      <c r="H50" s="3158">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59">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59">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3"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60">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3.5" hidden="1" thickBot="1">
      <c r="A54" s="2447" t="s">
        <v>694</v>
      </c>
      <c r="B54" s="2467">
        <v>269</v>
      </c>
      <c r="C54" s="2467">
        <v>221</v>
      </c>
      <c r="D54" s="2467">
        <f t="shared" si="210"/>
        <v>221</v>
      </c>
      <c r="E54" s="2467"/>
      <c r="F54" s="2467">
        <v>373</v>
      </c>
      <c r="G54" s="2468">
        <v>196</v>
      </c>
      <c r="H54" s="3158">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59">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59">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3"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60">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3.5" hidden="1" thickBot="1">
      <c r="A58" s="2447" t="s">
        <v>698</v>
      </c>
      <c r="B58" s="2467">
        <v>220</v>
      </c>
      <c r="C58" s="2467">
        <v>187</v>
      </c>
      <c r="D58" s="2467">
        <f t="shared" si="210"/>
        <v>187</v>
      </c>
      <c r="E58" s="2467"/>
      <c r="F58" s="2467">
        <v>301</v>
      </c>
      <c r="G58" s="2468">
        <v>168</v>
      </c>
      <c r="H58" s="3158">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59">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59">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60">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3.5" hidden="1" thickBot="1">
      <c r="A62" s="2447" t="s">
        <v>702</v>
      </c>
      <c r="B62" s="2479">
        <v>214</v>
      </c>
      <c r="C62" s="2479">
        <v>188</v>
      </c>
      <c r="D62" s="2479">
        <f t="shared" si="210"/>
        <v>188</v>
      </c>
      <c r="E62" s="2479"/>
      <c r="F62" s="2479">
        <v>289</v>
      </c>
      <c r="G62" s="2480">
        <v>166</v>
      </c>
      <c r="H62" s="3158">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59">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59">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3"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60">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3.5" hidden="1" thickBot="1">
      <c r="A66" s="2447" t="s">
        <v>706</v>
      </c>
      <c r="B66" s="2467">
        <v>188</v>
      </c>
      <c r="C66" s="2467">
        <v>165</v>
      </c>
      <c r="D66" s="2467">
        <f t="shared" si="210"/>
        <v>165</v>
      </c>
      <c r="E66" s="2467"/>
      <c r="F66" s="2467">
        <v>254</v>
      </c>
      <c r="G66" s="2468">
        <v>148</v>
      </c>
      <c r="H66" s="3158">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59">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59">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60">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3.5" hidden="1" thickBot="1">
      <c r="A70" s="2447" t="s">
        <v>710</v>
      </c>
      <c r="B70" s="2495">
        <v>159</v>
      </c>
      <c r="C70" s="2495">
        <v>141</v>
      </c>
      <c r="D70" s="2495">
        <f t="shared" si="210"/>
        <v>141</v>
      </c>
      <c r="E70" s="2495"/>
      <c r="F70" s="2495">
        <v>195</v>
      </c>
      <c r="G70" s="2496">
        <v>122</v>
      </c>
      <c r="H70" s="3158">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59">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59">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60">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3.5" hidden="1" thickBot="1">
      <c r="A74" s="2447" t="s">
        <v>714</v>
      </c>
      <c r="B74" s="2495">
        <v>138</v>
      </c>
      <c r="C74" s="2495">
        <v>131</v>
      </c>
      <c r="D74" s="2495">
        <f t="shared" si="210"/>
        <v>131</v>
      </c>
      <c r="E74" s="2495"/>
      <c r="F74" s="2495">
        <v>155</v>
      </c>
      <c r="G74" s="2496">
        <v>114</v>
      </c>
      <c r="H74" s="3158">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59">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59">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60">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3.5" hidden="1" thickBot="1">
      <c r="A78" s="2447" t="s">
        <v>718</v>
      </c>
      <c r="B78" s="2479">
        <v>121</v>
      </c>
      <c r="C78" s="2479">
        <v>122</v>
      </c>
      <c r="D78" s="2479">
        <f t="shared" si="210"/>
        <v>122</v>
      </c>
      <c r="E78" s="2479"/>
      <c r="F78" s="2479">
        <v>124</v>
      </c>
      <c r="G78" s="2480">
        <v>107</v>
      </c>
      <c r="H78" s="3158">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59">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idden="1">
      <c r="A80" s="2447" t="s">
        <v>720</v>
      </c>
      <c r="B80" s="517">
        <f t="shared" si="242"/>
        <v>116.99099099099099</v>
      </c>
      <c r="C80" s="517">
        <f t="shared" si="242"/>
        <v>118.84848484848486</v>
      </c>
      <c r="D80" s="517">
        <f t="shared" si="210"/>
        <v>118.84848484848486</v>
      </c>
      <c r="F80" s="517">
        <f t="shared" si="243"/>
        <v>117.60960960960961</v>
      </c>
      <c r="G80" s="517">
        <f t="shared" si="243"/>
        <v>104</v>
      </c>
      <c r="H80" s="3159">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3"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60">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3.5" hidden="1" thickBot="1">
      <c r="A82" s="2447" t="s">
        <v>722</v>
      </c>
      <c r="B82" s="2499">
        <v>111</v>
      </c>
      <c r="C82" s="2499">
        <v>114</v>
      </c>
      <c r="D82" s="2499">
        <f t="shared" si="210"/>
        <v>114</v>
      </c>
      <c r="E82" s="2499"/>
      <c r="F82" s="2499">
        <v>108</v>
      </c>
      <c r="G82" s="2500">
        <v>104</v>
      </c>
      <c r="H82" s="3158">
        <v>2003</v>
      </c>
      <c r="I82" s="2489">
        <v>4</v>
      </c>
    </row>
    <row r="83" spans="1:31"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59">
        <v>2003</v>
      </c>
      <c r="I83" s="2473">
        <v>3</v>
      </c>
    </row>
    <row r="84" spans="1:31" hidden="1">
      <c r="A84" s="2447" t="s">
        <v>724</v>
      </c>
      <c r="B84" s="2492">
        <f t="shared" si="244"/>
        <v>108.5</v>
      </c>
      <c r="C84" s="2492">
        <f t="shared" si="244"/>
        <v>110.5</v>
      </c>
      <c r="D84" s="2492">
        <f t="shared" si="210"/>
        <v>110.5</v>
      </c>
      <c r="E84" s="2492"/>
      <c r="F84" s="2492">
        <f t="shared" si="245"/>
        <v>106.5</v>
      </c>
      <c r="G84" s="2492">
        <f t="shared" si="245"/>
        <v>103</v>
      </c>
      <c r="H84" s="3159">
        <v>2003</v>
      </c>
      <c r="I84" s="2475">
        <v>2</v>
      </c>
    </row>
    <row r="85" spans="1:31" ht="13" hidden="1" thickBot="1">
      <c r="A85" s="2447" t="s">
        <v>725</v>
      </c>
      <c r="B85" s="2492">
        <f t="shared" si="244"/>
        <v>107.25</v>
      </c>
      <c r="C85" s="2492">
        <f t="shared" si="244"/>
        <v>108.75</v>
      </c>
      <c r="D85" s="2492">
        <f t="shared" si="210"/>
        <v>108.75</v>
      </c>
      <c r="E85" s="2492"/>
      <c r="F85" s="2492">
        <f t="shared" si="245"/>
        <v>105.75</v>
      </c>
      <c r="G85" s="2492">
        <f t="shared" si="245"/>
        <v>102.5</v>
      </c>
      <c r="H85" s="3160">
        <v>2003</v>
      </c>
      <c r="I85" s="2501">
        <v>1</v>
      </c>
    </row>
    <row r="86" spans="1:31" ht="13.5" hidden="1" thickBot="1">
      <c r="A86" s="2447" t="s">
        <v>726</v>
      </c>
      <c r="B86" s="2479">
        <v>106</v>
      </c>
      <c r="C86" s="2479">
        <v>107</v>
      </c>
      <c r="D86" s="2479">
        <f t="shared" si="210"/>
        <v>107</v>
      </c>
      <c r="E86" s="2479"/>
      <c r="F86" s="2479">
        <v>105</v>
      </c>
      <c r="G86" s="2480">
        <v>102</v>
      </c>
      <c r="H86" s="3158">
        <v>2002</v>
      </c>
      <c r="I86" s="2481">
        <v>4</v>
      </c>
    </row>
    <row r="87" spans="1:31"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59">
        <v>2002</v>
      </c>
      <c r="I87" s="2473">
        <v>3</v>
      </c>
    </row>
    <row r="88" spans="1:31" hidden="1">
      <c r="A88" s="2447" t="s">
        <v>728</v>
      </c>
      <c r="B88" s="2492">
        <f t="shared" si="246"/>
        <v>104</v>
      </c>
      <c r="C88" s="2492">
        <f t="shared" si="246"/>
        <v>105</v>
      </c>
      <c r="D88" s="2492">
        <f t="shared" si="210"/>
        <v>105</v>
      </c>
      <c r="E88" s="2492"/>
      <c r="F88" s="2492">
        <f t="shared" si="247"/>
        <v>104</v>
      </c>
      <c r="G88" s="2492">
        <f t="shared" si="247"/>
        <v>101</v>
      </c>
      <c r="H88" s="3159">
        <v>2002</v>
      </c>
      <c r="I88" s="2475">
        <v>2</v>
      </c>
    </row>
    <row r="89" spans="1:31" s="2503" customFormat="1" ht="13" hidden="1" thickBot="1">
      <c r="A89" s="2502" t="s">
        <v>729</v>
      </c>
      <c r="B89" s="2503">
        <f t="shared" si="246"/>
        <v>103</v>
      </c>
      <c r="C89" s="2503">
        <f t="shared" si="246"/>
        <v>104</v>
      </c>
      <c r="D89" s="2503">
        <f t="shared" si="210"/>
        <v>104</v>
      </c>
      <c r="F89" s="2503">
        <f t="shared" si="247"/>
        <v>103.5</v>
      </c>
      <c r="G89" s="2503">
        <f t="shared" si="247"/>
        <v>100.5</v>
      </c>
      <c r="H89" s="3160">
        <v>2002</v>
      </c>
      <c r="I89" s="2504">
        <v>1</v>
      </c>
      <c r="N89" s="2448"/>
      <c r="O89" s="2505"/>
      <c r="S89" s="2448"/>
      <c r="T89" s="2505"/>
      <c r="X89" s="2448"/>
      <c r="AE89" s="2448"/>
    </row>
    <row r="90" spans="1:31" ht="13.5" hidden="1" thickBot="1">
      <c r="B90" s="2506">
        <v>102</v>
      </c>
      <c r="C90" s="2507">
        <v>103</v>
      </c>
      <c r="D90" s="2507">
        <f t="shared" si="210"/>
        <v>103</v>
      </c>
      <c r="E90" s="2507"/>
      <c r="F90" s="2507">
        <v>103</v>
      </c>
      <c r="G90" s="2508">
        <v>100</v>
      </c>
    </row>
    <row r="91" spans="1:31">
      <c r="H91" s="517"/>
    </row>
    <row r="92" spans="1:31" s="2510" customFormat="1" ht="13">
      <c r="A92" s="2509" t="s">
        <v>730</v>
      </c>
      <c r="F92" s="517"/>
      <c r="G92" s="517"/>
      <c r="H92" s="517"/>
      <c r="I92" s="517"/>
      <c r="N92" s="2511"/>
      <c r="O92" s="2512"/>
      <c r="S92" s="2511"/>
      <c r="T92" s="2512"/>
      <c r="X92" s="2511"/>
      <c r="AE92" s="2511"/>
    </row>
    <row r="93" spans="1:31" s="2510" customFormat="1" ht="13">
      <c r="A93" s="2510" t="s">
        <v>731</v>
      </c>
      <c r="F93" s="517"/>
      <c r="G93" s="517"/>
      <c r="H93" s="517"/>
      <c r="I93" s="517"/>
      <c r="N93" s="2511"/>
      <c r="O93" s="2512"/>
      <c r="S93" s="2511"/>
      <c r="T93" s="2512"/>
      <c r="X93" s="2511"/>
      <c r="AE93" s="2511"/>
    </row>
    <row r="94" spans="1:31" s="2510" customFormat="1" ht="13">
      <c r="A94" s="2510" t="s">
        <v>732</v>
      </c>
      <c r="F94" s="517"/>
      <c r="G94" s="517"/>
      <c r="H94" s="517"/>
      <c r="I94" s="517"/>
      <c r="N94" s="2511"/>
      <c r="O94" s="2512"/>
      <c r="S94" s="2511"/>
      <c r="T94" s="2512"/>
      <c r="X94" s="2511"/>
      <c r="AE94" s="2511"/>
    </row>
    <row r="95" spans="1:31" s="2510" customFormat="1" ht="13">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5"/>
  <cols>
    <col min="1" max="1" width="11.453125" style="557" customWidth="1"/>
    <col min="2" max="2" width="9.269531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72" t="s">
        <v>2342</v>
      </c>
      <c r="D1" s="3173"/>
      <c r="E1" s="3173"/>
      <c r="F1" s="3173"/>
      <c r="G1" s="3173"/>
      <c r="H1" s="3173"/>
      <c r="I1" s="3173"/>
      <c r="J1" s="3173"/>
      <c r="K1" s="3173"/>
      <c r="L1" s="3173"/>
      <c r="M1" s="3173"/>
      <c r="N1" s="3173"/>
      <c r="O1" s="3173"/>
      <c r="P1" s="3173"/>
      <c r="Q1" s="3173"/>
      <c r="R1" s="3173"/>
      <c r="S1" s="3174"/>
      <c r="T1" s="555" t="s">
        <v>2343</v>
      </c>
    </row>
    <row r="2" spans="1:45" s="565" customFormat="1" ht="13">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3.5"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ht="13">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3.5"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ht="13">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3.5"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ht="13">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3.5"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ht="13">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3.5"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ht="13">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3.5"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ht="13">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3.5"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ht="13">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3.5"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ht="13">
      <c r="A19" s="643"/>
      <c r="B19" s="644"/>
      <c r="C19" s="644"/>
      <c r="D19" s="645" t="s">
        <v>2353</v>
      </c>
      <c r="E19" s="646"/>
      <c r="F19" s="646"/>
      <c r="G19" s="646"/>
      <c r="H19" s="647"/>
      <c r="I19" s="644"/>
      <c r="J19" s="644"/>
      <c r="K19" s="644"/>
      <c r="L19" s="644"/>
      <c r="M19" s="644"/>
      <c r="N19" s="644"/>
      <c r="O19" s="644"/>
      <c r="P19" s="644"/>
      <c r="Q19" s="644"/>
      <c r="R19" s="644"/>
      <c r="S19" s="643"/>
    </row>
    <row r="20" spans="1:45" ht="16"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5.5">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ht="13">
      <c r="A22" s="653" t="s">
        <v>2357</v>
      </c>
      <c r="B22" s="654">
        <f>SUM(B24:B10000)</f>
        <v>100</v>
      </c>
      <c r="C22" s="3169" t="s">
        <v>30</v>
      </c>
      <c r="D22" s="3170"/>
      <c r="E22" s="3170"/>
      <c r="F22" s="3170"/>
      <c r="G22" s="3170"/>
      <c r="H22" s="3170"/>
      <c r="I22" s="3170"/>
      <c r="J22" s="3170"/>
      <c r="K22" s="3170"/>
      <c r="L22" s="3170"/>
      <c r="M22" s="3170"/>
      <c r="N22" s="3170"/>
      <c r="O22" s="3170"/>
      <c r="P22" s="3170"/>
      <c r="Q22" s="3171"/>
      <c r="R22" s="654">
        <f>ROUND(S22*10000/B22,0)</f>
        <v>10000</v>
      </c>
      <c r="S22" s="654">
        <f>SUM(S24:S10000)</f>
        <v>100</v>
      </c>
    </row>
    <row r="23" spans="1:45" s="656" customFormat="1" ht="26">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ht="13">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ht="13">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ht="13">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ht="13">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ht="13">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ht="13">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ht="13">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ht="13">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ht="13">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ht="13">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ht="13">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ht="13">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ht="13">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ht="13">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ht="13">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ht="13">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ht="13">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ht="13">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ht="13">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ht="13">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ht="13">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ht="13">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ht="13">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ht="13">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ht="13">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ht="13">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ht="13">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ht="13">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ht="13">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ht="13">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ht="13">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ht="13">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ht="13">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ht="13">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ht="13">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ht="13">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ht="13">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ht="13">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ht="13">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ht="13">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ht="13">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ht="13">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ht="13">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ht="13">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ht="13">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ht="13">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ht="13">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ht="13">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ht="13">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ht="13">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ht="13">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ht="13">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ht="13">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ht="13">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ht="13">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ht="13">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ht="13">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ht="13">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ht="13">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ht="13">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ht="13">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ht="13">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ht="13">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ht="13">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ht="13">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ht="13">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ht="13">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ht="13">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ht="13">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ht="13">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ht="13">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ht="13">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ht="13">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ht="13">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ht="13">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ht="13">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ht="13">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ht="13">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ht="13">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ht="13">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ht="13">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ht="13">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ht="13">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ht="13">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ht="13">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ht="13">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ht="13">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ht="13">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ht="13">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ht="13">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ht="13">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ht="13">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ht="13">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ht="13">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ht="13">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ht="13">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ht="13">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ht="13">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ht="13">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ht="13">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ht="13">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ht="13">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ht="13">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ht="13">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ht="13">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ht="13">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ht="13">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ht="13">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ht="13">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ht="13">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ht="13">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ht="13">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ht="13">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ht="13">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ht="13">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ht="13">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ht="13">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ht="13">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ht="13">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ht="13">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ht="13">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ht="13">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ht="13">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ht="13">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ht="13">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ht="13">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ht="13">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ht="13">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ht="13">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ht="13">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ht="13">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ht="13">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ht="13">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ht="13">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ht="13">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ht="13">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ht="13">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ht="13">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ht="13">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ht="13">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ht="13">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ht="13">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ht="13">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ht="13">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ht="13">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ht="13">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ht="13">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ht="13">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ht="13">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ht="13">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ht="13">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ht="13">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ht="13">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ht="13">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ht="13">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ht="13">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ht="13">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ht="13">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ht="13">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ht="13">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ht="13">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ht="13">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ht="13">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ht="13">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ht="13">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ht="13">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ht="13">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ht="13">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ht="13">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ht="13">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ht="13">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ht="13">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ht="13">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ht="13">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ht="13">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ht="13">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ht="13">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ht="13">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ht="13">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ht="13">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ht="13">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ht="13">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ht="13">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ht="13">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ht="13">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ht="13">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ht="13">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ht="13">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ht="13">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ht="13">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ht="13">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ht="13">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ht="13">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ht="13">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ht="13">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ht="13">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ht="13">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ht="13">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ht="13">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ht="13">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ht="13">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ht="13">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ht="13">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ht="13">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ht="13">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ht="13">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ht="13">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ht="13">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ht="13">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ht="13">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ht="13">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ht="13">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ht="13">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ht="13">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ht="13">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ht="13">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ht="13">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ht="13">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ht="13">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ht="13">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ht="13">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ht="13">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ht="13">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ht="13">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ht="13">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ht="13">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ht="13">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ht="13">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ht="13">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ht="13">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ht="13">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ht="13">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ht="13">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ht="13">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ht="13">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ht="13">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ht="13">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ht="13">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ht="13">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ht="13">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ht="13">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ht="13">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ht="13">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ht="13">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ht="13">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ht="13">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ht="13">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ht="13">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ht="13">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ht="13">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ht="13">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ht="13">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ht="13">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ht="13">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ht="13">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ht="13">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ht="13">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ht="13">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ht="13">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ht="13">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ht="13">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ht="13">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ht="13">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ht="13">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ht="13">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ht="13">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ht="13">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ht="13">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ht="13">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ht="13">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ht="13">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ht="13">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ht="13">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ht="13">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ht="13">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ht="13">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ht="13">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ht="13">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ht="13">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ht="13">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ht="13">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ht="13">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ht="13">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ht="13">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ht="13">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ht="13">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ht="13">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ht="13">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ht="13">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ht="13">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ht="13">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ht="13">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ht="13">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ht="13">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ht="13">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ht="13">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ht="13">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ht="13">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ht="13">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ht="13">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ht="13">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ht="13">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ht="13">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ht="13">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ht="13">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ht="13">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ht="13">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ht="13">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ht="13">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ht="13">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ht="13">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ht="13">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ht="13">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ht="13">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ht="13">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ht="13">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ht="13">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ht="13">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ht="13">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ht="13">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ht="13">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ht="13">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ht="13">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ht="13">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ht="13">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ht="13">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ht="13">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ht="13">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ht="13">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ht="13">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ht="13">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ht="13">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ht="13">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ht="13">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ht="13">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ht="13">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ht="13">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ht="13">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ht="13">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ht="13">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ht="13">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ht="13">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ht="13">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ht="13">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ht="13">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ht="13">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ht="13">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ht="13">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ht="13">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ht="13">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ht="13">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ht="13">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ht="13">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ht="13">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ht="13">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ht="13">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ht="13">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ht="13">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ht="13">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ht="13">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ht="13">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ht="13">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ht="13">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ht="13">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ht="13">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ht="13">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ht="13">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ht="13">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ht="13">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ht="13">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ht="13">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ht="13">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ht="13">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ht="13">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ht="13">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ht="13">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ht="13">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ht="13">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ht="13">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ht="13">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ht="13">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ht="13">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ht="13">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ht="13">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ht="13">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ht="13">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ht="13">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ht="13">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ht="13">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ht="13">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ht="13">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ht="13">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ht="13">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ht="13">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ht="13">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ht="13">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ht="13">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ht="13">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ht="13">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ht="13">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ht="13">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ht="13">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ht="13">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ht="13">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ht="13">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ht="13">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ht="13">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ht="13">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ht="13">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ht="13">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ht="13">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ht="13">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ht="13">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ht="13">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ht="13">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ht="13">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ht="13">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ht="13">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ht="13">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ht="13">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ht="13">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ht="13">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ht="13">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ht="13">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ht="13">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ht="13">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ht="13">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ht="13">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ht="13">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ht="13">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ht="13">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ht="13">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ht="13">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ht="13">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ht="13">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ht="13">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ht="13">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ht="13">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ht="13">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ht="13">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ht="13">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ht="13">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ht="13">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ht="13">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ht="13">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ht="13">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ht="13">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ht="13">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ht="13">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ht="13">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ht="13">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ht="13">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ht="13">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ht="13">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ht="13">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ht="13">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ht="13">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ht="13">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ht="13">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ht="13">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ht="13">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ht="13">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ht="13">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ht="13">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ht="13">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ht="13">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ht="13">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ht="13">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ht="13">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ht="13">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ht="13">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ht="13">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ht="13">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ht="13">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ht="13">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ht="13">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ht="13">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ht="13">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ht="13">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ht="13">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ht="13">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ht="13">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ht="13">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ht="13">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ht="13">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ht="13">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ht="13">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ht="13">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ht="13">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ht="13">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ht="13">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ht="13">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ht="13">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ht="13">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ht="13">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ht="13">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ht="13">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ht="13">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ht="13">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ht="13">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ht="13">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6328125" defaultRowHeight="12.5"/>
  <cols>
    <col min="1" max="1" width="9.36328125" style="1133" customWidth="1"/>
    <col min="2" max="2" width="29.26953125" style="1119" customWidth="1"/>
    <col min="3" max="3" width="16.453125" style="1119" customWidth="1"/>
    <col min="4" max="4" width="18.453125" style="1136" customWidth="1"/>
    <col min="5" max="5" width="11.26953125" style="1136" customWidth="1"/>
    <col min="6" max="6" width="9.453125" style="1119" customWidth="1"/>
    <col min="7" max="7" width="31.90625" style="1119" customWidth="1"/>
    <col min="8" max="254" width="9" style="1119" customWidth="1"/>
    <col min="255" max="16384" width="8.36328125" style="1119"/>
  </cols>
  <sheetData>
    <row r="1" spans="1:7" s="1063" customFormat="1" ht="21">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6">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ht="13">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26">
      <c r="A25" s="1107" t="s">
        <v>556</v>
      </c>
      <c r="B25" s="1083" t="s">
        <v>638</v>
      </c>
      <c r="C25" s="1108" t="e">
        <f ca="1">ROUND(IF('数据-取费表'!B22&lt;=1,C20*F22*'数据-取费表'!B23/2,C20*(POWER((1+F22),'数据-取费表'!B23/2)-1)),0)</f>
        <v>#VALUE!</v>
      </c>
      <c r="D25" s="1108"/>
      <c r="E25" s="1111"/>
      <c r="F25" s="1109"/>
      <c r="G25" s="1112" t="s">
        <v>86</v>
      </c>
    </row>
    <row r="26" spans="1:7" s="1081" customFormat="1" ht="13">
      <c r="A26" s="1107" t="s">
        <v>558</v>
      </c>
      <c r="B26" s="1083" t="s">
        <v>640</v>
      </c>
      <c r="C26" s="1108" t="e">
        <f ca="1">ROUND(IF('数据-取费表'!B22&lt;=1,F21*F22*'数据-取费表'!B23/2,F21*(POWER((1+F22),'数据-取费表'!B23/2)-1)),4)</f>
        <v>#VALUE!</v>
      </c>
      <c r="D26" s="1108"/>
      <c r="E26" s="1111"/>
      <c r="F26" s="1109"/>
      <c r="G26" s="1113"/>
    </row>
    <row r="27" spans="1:7" s="1081" customFormat="1" ht="27">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6">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26">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14" t="s">
        <v>97</v>
      </c>
    </row>
    <row r="43" spans="1:7" ht="13.5" customHeight="1">
      <c r="A43" s="1107" t="s">
        <v>555</v>
      </c>
      <c r="B43" s="1083" t="s">
        <v>644</v>
      </c>
      <c r="C43" s="1108" t="e">
        <f ca="1">ROUND(IF('数据-取费表'!B22&lt;=1,C39*F22*'数据-取费表'!B21/2,C39*(POWER((1+F22),'数据-取费表'!B21/2)-1)),0)</f>
        <v>#VALUE!</v>
      </c>
      <c r="D43" s="1108"/>
      <c r="E43" s="1108"/>
      <c r="F43" s="1109"/>
      <c r="G43" s="3015"/>
    </row>
    <row r="44" spans="1:7" ht="13.5" customHeight="1">
      <c r="A44" s="1107" t="s">
        <v>556</v>
      </c>
      <c r="B44" s="1083" t="s">
        <v>646</v>
      </c>
      <c r="C44" s="1108" t="e">
        <f ca="1">ROUND(IF('数据-取费表'!B22&lt;=1,C40*F22*'数据-取费表'!B21/2,C40*(POWER((1+F22),'数据-取费表'!B21/2)-1)),4)</f>
        <v>#VALUE!</v>
      </c>
      <c r="D44" s="1108"/>
      <c r="E44" s="1108"/>
      <c r="F44" s="1109"/>
      <c r="G44" s="3016"/>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26">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6.5" thickBot="1">
      <c r="A52" s="1129" t="s">
        <v>41</v>
      </c>
      <c r="B52" s="1130"/>
      <c r="C52" s="1131" t="e">
        <f ca="1">C31+C51</f>
        <v>#VALUE!</v>
      </c>
      <c r="D52" s="1130"/>
      <c r="E52" s="1130"/>
      <c r="F52" s="1130"/>
      <c r="G52" s="1132"/>
    </row>
    <row r="55" spans="1:7" ht="15.5">
      <c r="B55" s="1134" t="s">
        <v>42</v>
      </c>
      <c r="C55" s="1135"/>
    </row>
    <row r="56" spans="1:7" ht="13">
      <c r="B56" s="1137" t="s">
        <v>43</v>
      </c>
      <c r="C56" s="1139" t="e">
        <f ca="1">ROUND(C51/C52,3)</f>
        <v>#VALUE!</v>
      </c>
    </row>
    <row r="57" spans="1:7" ht="13">
      <c r="B57" s="1137" t="s">
        <v>44</v>
      </c>
      <c r="C57" s="113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
  <cols>
    <col min="1" max="1" width="0.90625" style="2636" customWidth="1"/>
    <col min="2" max="2" width="37.26953125" style="2636" customWidth="1"/>
    <col min="3" max="3" width="11.36328125" style="2636" customWidth="1"/>
    <col min="4" max="4" width="31.7265625" style="2636" customWidth="1"/>
    <col min="5" max="5" width="0.453125" style="2636" customWidth="1"/>
    <col min="6" max="7" width="13" style="2636" customWidth="1"/>
    <col min="8" max="16384" width="9" style="2636"/>
  </cols>
  <sheetData>
    <row r="1" spans="1:5" ht="18">
      <c r="A1" s="2635" t="s">
        <v>1125</v>
      </c>
    </row>
    <row r="2" spans="1:5" ht="78" customHeight="1">
      <c r="A2" s="2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5"/>
      <c r="C2" s="2845"/>
      <c r="D2" s="2845"/>
      <c r="E2" s="2845"/>
    </row>
    <row r="3" spans="1:5" ht="18">
      <c r="A3" s="2846" t="str">
        <f>IF(项目基本情况!B9="房地产市场价值","估价结果一览表（市场价值不需“结果表-1”）","估价结果一览表")</f>
        <v>估价结果一览表</v>
      </c>
      <c r="B3" s="2846"/>
      <c r="C3" s="2846"/>
      <c r="D3" s="2846"/>
      <c r="E3" s="2846"/>
    </row>
    <row r="4" spans="1:5" ht="18.5" thickBot="1">
      <c r="A4" s="2637"/>
      <c r="B4" s="2844" t="s">
        <v>1134</v>
      </c>
      <c r="C4" s="2844"/>
      <c r="D4" s="2844"/>
      <c r="E4" s="2637"/>
    </row>
    <row r="5" spans="1:5" ht="16" thickTop="1">
      <c r="B5" s="2842" t="s">
        <v>1126</v>
      </c>
      <c r="C5" s="2638" t="s">
        <v>1127</v>
      </c>
      <c r="D5" s="2639" t="e">
        <f ca="1">结果表!H101</f>
        <v>#REF!</v>
      </c>
    </row>
    <row r="6" spans="1:5" ht="15.5">
      <c r="B6" s="2842"/>
      <c r="C6" s="2638" t="s">
        <v>1128</v>
      </c>
      <c r="D6" s="2639" t="e">
        <f ca="1">NUMBERSTRING(INT(D5*10000),2)&amp;"元整"</f>
        <v>#REF!</v>
      </c>
    </row>
    <row r="7" spans="1:5" ht="15.5">
      <c r="B7" s="2847"/>
      <c r="C7" s="2640" t="s">
        <v>1129</v>
      </c>
      <c r="D7" s="2641" t="e">
        <f ca="1">结果表!H102</f>
        <v>#REF!</v>
      </c>
    </row>
    <row r="8" spans="1:5" ht="15.5">
      <c r="B8" s="2848" t="str">
        <f>结果表!E103</f>
        <v>2.估价师知悉的法定优先受偿款</v>
      </c>
      <c r="C8" s="2642" t="s">
        <v>1130</v>
      </c>
      <c r="D8" s="2641">
        <f>结果表!H103</f>
        <v>0</v>
      </c>
    </row>
    <row r="9" spans="1:5" ht="15.5">
      <c r="B9" s="2850"/>
      <c r="C9" s="2638" t="s">
        <v>1128</v>
      </c>
      <c r="D9" s="2639" t="str">
        <f>NUMBERSTRING(INT(D8*10000),2)&amp;"元整"</f>
        <v>零元整</v>
      </c>
    </row>
    <row r="10" spans="1:5" ht="16">
      <c r="B10" s="2643" t="s">
        <v>1133</v>
      </c>
      <c r="C10" s="2644" t="s">
        <v>1131</v>
      </c>
      <c r="D10" s="2645">
        <f>结果表!H104</f>
        <v>0</v>
      </c>
    </row>
    <row r="11" spans="1:5" ht="16">
      <c r="B11" s="2643" t="s">
        <v>1135</v>
      </c>
      <c r="C11" s="2644" t="s">
        <v>1136</v>
      </c>
      <c r="D11" s="2645">
        <f>结果表!H105</f>
        <v>0</v>
      </c>
    </row>
    <row r="12" spans="1:5" ht="16">
      <c r="B12" s="2643" t="s">
        <v>1137</v>
      </c>
      <c r="C12" s="2644" t="s">
        <v>1136</v>
      </c>
      <c r="D12" s="2645">
        <f>结果表!H106</f>
        <v>0</v>
      </c>
    </row>
    <row r="13" spans="1:5" ht="15.5">
      <c r="B13" s="2841" t="str">
        <f>结果表!E107</f>
        <v>3.房地产抵押价值</v>
      </c>
      <c r="C13" s="2646" t="s">
        <v>1127</v>
      </c>
      <c r="D13" s="2647" t="e">
        <f ca="1">结果表!H107</f>
        <v>#REF!</v>
      </c>
    </row>
    <row r="14" spans="1:5" ht="15.5">
      <c r="B14" s="2842"/>
      <c r="C14" s="2638" t="s">
        <v>1128</v>
      </c>
      <c r="D14" s="2639" t="e">
        <f ca="1">NUMBERSTRING(INT(D13*10000),2)&amp;"元整"</f>
        <v>#REF!</v>
      </c>
    </row>
    <row r="15" spans="1:5" ht="15.5">
      <c r="B15" s="2847"/>
      <c r="C15" s="2640" t="s">
        <v>1138</v>
      </c>
      <c r="D15" s="2648" t="e">
        <f ca="1">结果表!H108</f>
        <v>#REF!</v>
      </c>
    </row>
    <row r="16" spans="1:5" ht="15">
      <c r="B16" s="2848" t="str">
        <f>结果表!E109</f>
        <v>——</v>
      </c>
      <c r="C16" s="2646" t="s">
        <v>1139</v>
      </c>
      <c r="D16" s="2649" t="str">
        <f>结果表!H109</f>
        <v>——</v>
      </c>
    </row>
    <row r="17" spans="1:5" ht="15.5">
      <c r="B17" s="2849"/>
      <c r="C17" s="2638" t="s">
        <v>1140</v>
      </c>
      <c r="D17" s="2639" t="e">
        <f>NUMBERSTRING(INT(D16*10000),2)&amp;"元整"</f>
        <v>#VALUE!</v>
      </c>
    </row>
    <row r="18" spans="1:5" ht="15.5">
      <c r="B18" s="2850"/>
      <c r="C18" s="2640" t="s">
        <v>1129</v>
      </c>
      <c r="D18" s="2648" t="str">
        <f>结果表!H110</f>
        <v>——</v>
      </c>
    </row>
    <row r="19" spans="1:5" ht="15.5">
      <c r="B19" s="2841" t="str">
        <f>结果表!E111</f>
        <v>——</v>
      </c>
      <c r="C19" s="2646" t="s">
        <v>1127</v>
      </c>
      <c r="D19" s="2641" t="str">
        <f>结果表!H111</f>
        <v>——</v>
      </c>
    </row>
    <row r="20" spans="1:5" ht="15.5">
      <c r="B20" s="2842"/>
      <c r="C20" s="2638" t="s">
        <v>1140</v>
      </c>
      <c r="D20" s="2639" t="e">
        <f>NUMBERSTRING(INT(D19*10000),2)&amp;"元整"</f>
        <v>#VALUE!</v>
      </c>
    </row>
    <row r="21" spans="1:5" ht="16" thickBot="1">
      <c r="B21" s="2843"/>
      <c r="C21" s="2650" t="s">
        <v>1138</v>
      </c>
      <c r="D21" s="2651" t="str">
        <f>结果表!H112</f>
        <v>——</v>
      </c>
    </row>
    <row r="22" spans="1:5" ht="14.5" thickTop="1">
      <c r="B22" s="2652" t="s">
        <v>1141</v>
      </c>
    </row>
    <row r="24" spans="1:5" ht="17.5">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90625" defaultRowHeight="14"/>
  <cols>
    <col min="1" max="7" width="8.90625" style="533"/>
    <col min="8" max="9" width="9" style="533" customWidth="1"/>
    <col min="10" max="10" width="2.90625" style="533" customWidth="1"/>
    <col min="11" max="16" width="8.90625" style="533" customWidth="1"/>
    <col min="17" max="17" width="3" style="533" customWidth="1"/>
    <col min="18" max="18" width="8.90625" style="533" customWidth="1"/>
    <col min="19" max="19" width="10.453125" style="533" customWidth="1"/>
    <col min="20" max="22" width="8.90625" style="533" customWidth="1"/>
    <col min="23" max="23" width="11.08984375" style="533" customWidth="1"/>
    <col min="24" max="24" width="2.90625" style="533" customWidth="1"/>
    <col min="25" max="16384" width="8.90625" style="533"/>
  </cols>
  <sheetData>
    <row r="1" spans="1:30" s="521" customFormat="1" ht="13">
      <c r="A1" s="2697">
        <f>基准地价修正!G23</f>
        <v>44853</v>
      </c>
      <c r="B1" s="2611" t="s">
        <v>3086</v>
      </c>
      <c r="C1" s="2612"/>
      <c r="D1" s="2612"/>
      <c r="E1" s="2612"/>
      <c r="F1" s="2612"/>
      <c r="G1" s="2612"/>
      <c r="H1" s="2612"/>
      <c r="I1" s="2612"/>
      <c r="J1" s="2427"/>
      <c r="K1" s="2612" t="s">
        <v>672</v>
      </c>
      <c r="L1" s="2612"/>
      <c r="M1" s="2612"/>
      <c r="N1" s="2612"/>
      <c r="O1" s="2612"/>
      <c r="P1" s="2612"/>
      <c r="Q1" s="2427"/>
      <c r="R1" s="3161" t="s">
        <v>674</v>
      </c>
      <c r="S1" s="3162"/>
      <c r="T1" s="3162"/>
      <c r="U1" s="3162"/>
      <c r="V1" s="3162"/>
      <c r="W1" s="3162"/>
      <c r="X1" s="2427"/>
      <c r="Y1" s="3161" t="s">
        <v>675</v>
      </c>
      <c r="Z1" s="3162"/>
      <c r="AA1" s="3162"/>
      <c r="AB1" s="3162"/>
      <c r="AC1" s="3162"/>
      <c r="AD1" s="3162"/>
    </row>
    <row r="2" spans="1:30" s="2428" customFormat="1" ht="14.5" thickBot="1">
      <c r="B2" s="2431"/>
      <c r="C2" s="2432"/>
      <c r="D2" s="2429" t="s">
        <v>3082</v>
      </c>
      <c r="E2" s="2430" t="s">
        <v>3083</v>
      </c>
      <c r="F2" s="2430" t="s">
        <v>3084</v>
      </c>
      <c r="G2" s="2430" t="s">
        <v>514</v>
      </c>
      <c r="H2" s="2430" t="s">
        <v>3085</v>
      </c>
      <c r="I2" s="2430" t="s">
        <v>2710</v>
      </c>
      <c r="J2" s="2433"/>
      <c r="K2" s="2429" t="s">
        <v>3082</v>
      </c>
      <c r="L2" s="2430" t="s">
        <v>3083</v>
      </c>
      <c r="M2" s="2430" t="s">
        <v>3084</v>
      </c>
      <c r="N2" s="2430" t="s">
        <v>514</v>
      </c>
      <c r="O2" s="2430" t="s">
        <v>3085</v>
      </c>
      <c r="P2" s="2430" t="s">
        <v>2710</v>
      </c>
      <c r="Q2" s="2433"/>
      <c r="R2" s="2429" t="s">
        <v>3082</v>
      </c>
      <c r="S2" s="2430" t="s">
        <v>3083</v>
      </c>
      <c r="T2" s="2430" t="s">
        <v>3084</v>
      </c>
      <c r="U2" s="2430" t="s">
        <v>514</v>
      </c>
      <c r="V2" s="2430" t="s">
        <v>3085</v>
      </c>
      <c r="W2" s="2430" t="s">
        <v>2710</v>
      </c>
      <c r="X2" s="2433"/>
      <c r="Y2" s="2429" t="s">
        <v>3082</v>
      </c>
      <c r="Z2" s="2430" t="s">
        <v>3083</v>
      </c>
      <c r="AA2" s="2430" t="s">
        <v>3084</v>
      </c>
      <c r="AB2" s="2430" t="s">
        <v>514</v>
      </c>
      <c r="AC2" s="2430" t="s">
        <v>3085</v>
      </c>
      <c r="AD2" s="2430" t="s">
        <v>2710</v>
      </c>
    </row>
    <row r="3" spans="1:30" s="2700" customFormat="1" ht="13">
      <c r="A3" s="2698" t="s">
        <v>2372</v>
      </c>
      <c r="B3" s="2699"/>
      <c r="D3" s="2700">
        <f>ROUND(AVERAGEIF(D4:D13,"&lt;&gt;0"),2)</f>
        <v>0.87</v>
      </c>
      <c r="E3" s="2700">
        <f t="shared" ref="E3:H3" si="0">ROUND(AVERAGEIF(E4:E13,"&lt;&gt;0"),2)</f>
        <v>0.35</v>
      </c>
      <c r="F3" s="2700">
        <f t="shared" si="0"/>
        <v>0.14000000000000001</v>
      </c>
      <c r="G3" s="2700">
        <f t="shared" si="0"/>
        <v>0.95</v>
      </c>
      <c r="H3" s="2700">
        <f t="shared" si="0"/>
        <v>0.69</v>
      </c>
      <c r="I3" s="2700">
        <f>F3</f>
        <v>0.14000000000000001</v>
      </c>
      <c r="J3" s="2701"/>
      <c r="K3" s="2702">
        <f>ROUND(AVERAGEIF(K4:K13,"&lt;&gt;0"),4)</f>
        <v>8.6999999999999994E-3</v>
      </c>
      <c r="L3" s="2703">
        <f t="shared" ref="L3:O3" si="1">ROUND(AVERAGEIF(L4:L13,"&lt;&gt;0"),4)</f>
        <v>3.5000000000000001E-3</v>
      </c>
      <c r="M3" s="2703">
        <f t="shared" si="1"/>
        <v>1.4E-3</v>
      </c>
      <c r="N3" s="2703">
        <f t="shared" si="1"/>
        <v>9.4999999999999998E-3</v>
      </c>
      <c r="O3" s="2703">
        <f t="shared" si="1"/>
        <v>6.8999999999999999E-3</v>
      </c>
      <c r="P3" s="2703">
        <f>M3</f>
        <v>1.4E-3</v>
      </c>
      <c r="Q3" s="2701"/>
      <c r="R3" s="2704">
        <f>ROUND(SUMPRODUCT(PRODUCT(1+K4:K13)),4)</f>
        <v>1.0531999999999999</v>
      </c>
      <c r="S3" s="2705">
        <f t="shared" ref="S3:V3" si="2">ROUND(SUMPRODUCT(PRODUCT(1+L4:L13)),4)</f>
        <v>1.0214000000000001</v>
      </c>
      <c r="T3" s="2705">
        <f t="shared" si="2"/>
        <v>1.0085</v>
      </c>
      <c r="U3" s="2705">
        <f t="shared" si="2"/>
        <v>1.0586</v>
      </c>
      <c r="V3" s="2705">
        <f t="shared" si="2"/>
        <v>1.0419</v>
      </c>
      <c r="W3" s="2704">
        <f>T3</f>
        <v>1.0085</v>
      </c>
      <c r="X3" s="2701"/>
      <c r="Y3" s="2706">
        <f>ROUND(AVERAGEIF(Y5:Y13,"&lt;&gt;0"),4)</f>
        <v>8.8000000000000005E-3</v>
      </c>
      <c r="Z3" s="2707">
        <f t="shared" ref="Z3:AC3" si="3">ROUND(AVERAGEIF(Z5:Z13,"&lt;&gt;0"),4)</f>
        <v>3.5999999999999999E-3</v>
      </c>
      <c r="AA3" s="2708">
        <f t="shared" si="3"/>
        <v>6.9999999999999999E-4</v>
      </c>
      <c r="AB3" s="2706">
        <f t="shared" si="3"/>
        <v>9.7000000000000003E-3</v>
      </c>
      <c r="AC3" s="2709">
        <f t="shared" si="3"/>
        <v>6.0000000000000001E-3</v>
      </c>
      <c r="AD3" s="2706">
        <f>AA3</f>
        <v>6.9999999999999999E-4</v>
      </c>
    </row>
    <row r="4" spans="1:30" s="521" customFormat="1" ht="13">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ht="13">
      <c r="A5" s="2447" t="s">
        <v>3069</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1.0430999999999999</v>
      </c>
      <c r="S5" s="517">
        <f>ROUND(IF(项目基本情况!B8="出让",SUMPRODUCT(PRODUCT(1+L5:L13)),SUMPRODUCT(PRODUCT(1+L5:L12))),4)</f>
        <v>1.0197000000000001</v>
      </c>
      <c r="T5" s="517">
        <f>ROUND(IF(项目基本情况!B8="出让",SUMPRODUCT(PRODUCT(1+M5:M13)),SUMPRODUCT(PRODUCT(1+M5:M12))),4)</f>
        <v>1.0109999999999999</v>
      </c>
      <c r="U5" s="517">
        <f>ROUND(IF(项目基本情况!B8="出让",SUMPRODUCT(PRODUCT(1+N5:N13)),SUMPRODUCT(PRODUCT(1+N5:N12))),4)</f>
        <v>1.0468999999999999</v>
      </c>
      <c r="V5" s="517">
        <f>ROUND(IF(项目基本情况!B8="出让",SUMPRODUCT(PRODUCT(1+O5:O13)),SUMPRODUCT(PRODUCT(1+O5:O12))),4)</f>
        <v>1.0382</v>
      </c>
      <c r="W5" s="517">
        <f>T5</f>
        <v>1.0109999999999999</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ht="12.5">
      <c r="A6" s="2447" t="s">
        <v>3068</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1.0430999999999999</v>
      </c>
      <c r="S6" s="517">
        <f>ROUND(IF(项目基本情况!B8="出让",SUMPRODUCT(PRODUCT(1+L6:L13)),SUMPRODUCT(PRODUCT(1+L6:L12))),4)</f>
        <v>1.0197000000000001</v>
      </c>
      <c r="T6" s="517">
        <f>ROUND(IF(项目基本情况!B8="出让",SUMPRODUCT(PRODUCT(1+M6:M13)),SUMPRODUCT(PRODUCT(1+M6:M12))),4)</f>
        <v>1.0109999999999999</v>
      </c>
      <c r="U6" s="517">
        <f>ROUND(IF(项目基本情况!B8="出让",SUMPRODUCT(PRODUCT(1+N6:N13)),SUMPRODUCT(PRODUCT(1+N6:N12))),4)</f>
        <v>1.0468999999999999</v>
      </c>
      <c r="V6" s="517">
        <f>ROUND(IF(项目基本情况!B8="出让",SUMPRODUCT(PRODUCT(1+O6:O13)),SUMPRODUCT(PRODUCT(1+O6:O12))),4)</f>
        <v>1.0382</v>
      </c>
      <c r="W6" s="517">
        <f t="shared" ref="W6:W13" si="12">T6</f>
        <v>1.0109999999999999</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0" customFormat="1" ht="13">
      <c r="A7" s="2447" t="s">
        <v>3067</v>
      </c>
      <c r="B7" s="511">
        <v>2022</v>
      </c>
      <c r="C7" s="492">
        <v>3</v>
      </c>
      <c r="D7" s="493">
        <v>0</v>
      </c>
      <c r="E7" s="493">
        <v>0</v>
      </c>
      <c r="F7" s="493">
        <v>0</v>
      </c>
      <c r="G7" s="493">
        <v>0</v>
      </c>
      <c r="H7" s="493">
        <v>0</v>
      </c>
      <c r="I7" s="494">
        <f t="shared" si="4"/>
        <v>0</v>
      </c>
      <c r="J7" s="2448"/>
      <c r="K7" s="400">
        <f t="shared" si="5"/>
        <v>0</v>
      </c>
      <c r="L7" s="396">
        <f t="shared" si="6"/>
        <v>0</v>
      </c>
      <c r="M7" s="396">
        <f t="shared" ref="M7:O7" si="14">F7/100</f>
        <v>0</v>
      </c>
      <c r="N7" s="396">
        <f t="shared" si="14"/>
        <v>0</v>
      </c>
      <c r="O7" s="396">
        <f t="shared" si="14"/>
        <v>0</v>
      </c>
      <c r="P7" s="396">
        <f t="shared" si="11"/>
        <v>0</v>
      </c>
      <c r="Q7" s="2448"/>
      <c r="R7" s="517">
        <f>ROUND(IF(项目基本情况!B8="出让",SUMPRODUCT(PRODUCT(1+K7:K13)),SUMPRODUCT(PRODUCT(1+K7:K12))),4)</f>
        <v>1.0430999999999999</v>
      </c>
      <c r="S7" s="517">
        <f>ROUND(IF(项目基本情况!B8="出让",SUMPRODUCT(PRODUCT(1+L7:L13)),SUMPRODUCT(PRODUCT(1+L7:L12))),4)</f>
        <v>1.0197000000000001</v>
      </c>
      <c r="T7" s="517">
        <f>ROUND(IF(项目基本情况!B8="出让",SUMPRODUCT(PRODUCT(1+M7:M13)),SUMPRODUCT(PRODUCT(1+M7:M12))),4)</f>
        <v>1.0109999999999999</v>
      </c>
      <c r="U7" s="517">
        <f>ROUND(IF(项目基本情况!B8="出让",SUMPRODUCT(PRODUCT(1+N7:N13)),SUMPRODUCT(PRODUCT(1+N7:N12))),4)</f>
        <v>1.0468999999999999</v>
      </c>
      <c r="V7" s="517">
        <f>ROUND(IF(项目基本情况!B8="出让",SUMPRODUCT(PRODUCT(1+O7:O13)),SUMPRODUCT(PRODUCT(1+O7:O12))),4)</f>
        <v>1.0382</v>
      </c>
      <c r="W7" s="517">
        <f t="shared" si="12"/>
        <v>1.0109999999999999</v>
      </c>
      <c r="X7" s="2448"/>
      <c r="Y7" s="396">
        <f>IF(D7=0,0,ROUND(AVERAGE(D7:D13)/100,4))</f>
        <v>0</v>
      </c>
      <c r="Z7" s="396">
        <f t="shared" ref="Z7:AC7" si="15">IF(E7=0,0,ROUND(AVERAGE(E7:E13)/100,4))</f>
        <v>0</v>
      </c>
      <c r="AA7" s="396">
        <f t="shared" si="15"/>
        <v>0</v>
      </c>
      <c r="AB7" s="396">
        <f t="shared" si="15"/>
        <v>0</v>
      </c>
      <c r="AC7" s="396">
        <f t="shared" si="15"/>
        <v>0</v>
      </c>
      <c r="AD7" s="396">
        <f t="shared" si="9"/>
        <v>0</v>
      </c>
    </row>
    <row r="8" spans="1:30" s="2454" customFormat="1" ht="13">
      <c r="A8" s="2452" t="s">
        <v>3094</v>
      </c>
      <c r="B8" s="499">
        <v>2022</v>
      </c>
      <c r="C8" s="500">
        <v>2</v>
      </c>
      <c r="D8" s="501">
        <v>0.93</v>
      </c>
      <c r="E8" s="501">
        <v>0.15</v>
      </c>
      <c r="F8" s="501">
        <v>0.01</v>
      </c>
      <c r="G8" s="501">
        <v>1.05</v>
      </c>
      <c r="H8" s="2613">
        <v>1.08</v>
      </c>
      <c r="I8" s="502">
        <f t="shared" si="4"/>
        <v>0.01</v>
      </c>
      <c r="J8" s="525"/>
      <c r="K8" s="402">
        <f t="shared" si="5"/>
        <v>9.300000000000001E-3</v>
      </c>
      <c r="L8" s="403">
        <f t="shared" si="6"/>
        <v>1.5E-3</v>
      </c>
      <c r="M8" s="403">
        <f t="shared" ref="M8:O8" si="16">F8/100</f>
        <v>1E-4</v>
      </c>
      <c r="N8" s="403">
        <f t="shared" si="16"/>
        <v>1.0500000000000001E-2</v>
      </c>
      <c r="O8" s="403">
        <f t="shared" si="16"/>
        <v>1.0800000000000001E-2</v>
      </c>
      <c r="P8" s="403">
        <f t="shared" si="11"/>
        <v>1E-4</v>
      </c>
      <c r="Q8" s="525"/>
      <c r="R8" s="525">
        <f>ROUND(IF(项目基本情况!B8="出让",SUMPRODUCT(PRODUCT(1+K8:K13)),SUMPRODUCT(PRODUCT(1+K8:K12))),4)</f>
        <v>1.0430999999999999</v>
      </c>
      <c r="S8" s="525">
        <f>ROUND(IF(项目基本情况!B8="出让",SUMPRODUCT(PRODUCT(1+L8:L13)),SUMPRODUCT(PRODUCT(1+L8:L12))),4)</f>
        <v>1.0197000000000001</v>
      </c>
      <c r="T8" s="525">
        <f>ROUND(IF(项目基本情况!B8="出让",SUMPRODUCT(PRODUCT(1+M8:M13)),SUMPRODUCT(PRODUCT(1+M8:M12))),4)</f>
        <v>1.0109999999999999</v>
      </c>
      <c r="U8" s="525">
        <f>ROUND(IF(项目基本情况!B8="出让",SUMPRODUCT(PRODUCT(1+N8:N13)),SUMPRODUCT(PRODUCT(1+N8:N12))),4)</f>
        <v>1.0468999999999999</v>
      </c>
      <c r="V8" s="525">
        <f>ROUND(IF(项目基本情况!B8="出让",SUMPRODUCT(PRODUCT(1+O8:O13)),SUMPRODUCT(PRODUCT(1+O8:O12))),4)</f>
        <v>1.0382</v>
      </c>
      <c r="W8" s="525">
        <f t="shared" si="12"/>
        <v>1.0109999999999999</v>
      </c>
      <c r="X8" s="525"/>
      <c r="Y8" s="403">
        <f>IF(D8=0,0,ROUND(AVERAGE(D8:D13)/100,4))</f>
        <v>8.6999999999999994E-3</v>
      </c>
      <c r="Z8" s="403">
        <f t="shared" ref="Z8:AC8" si="17">IF(E8=0,0,ROUND(AVERAGE(E8:E13)/100,4))</f>
        <v>3.5000000000000001E-3</v>
      </c>
      <c r="AA8" s="403">
        <f t="shared" si="17"/>
        <v>1.4E-3</v>
      </c>
      <c r="AB8" s="403">
        <f t="shared" si="17"/>
        <v>9.4999999999999998E-3</v>
      </c>
      <c r="AC8" s="403">
        <f t="shared" si="17"/>
        <v>6.8999999999999999E-3</v>
      </c>
      <c r="AD8" s="403">
        <f t="shared" si="9"/>
        <v>1.4E-3</v>
      </c>
    </row>
    <row r="9" spans="1:30" s="2450" customFormat="1" ht="13">
      <c r="A9" s="2447" t="s">
        <v>3095</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ht="13">
      <c r="A10" s="2447" t="s">
        <v>3076</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ht="13">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ht="13">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ht="13.5"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4.5" thickTop="1"/>
    <row r="16" spans="1:30">
      <c r="I16" s="2616" t="s">
        <v>3089</v>
      </c>
    </row>
    <row r="18" spans="1:30" s="521" customFormat="1" ht="13">
      <c r="B18" s="2611" t="s">
        <v>3088</v>
      </c>
      <c r="C18" s="2612"/>
      <c r="D18" s="2612"/>
      <c r="E18" s="2612"/>
      <c r="F18" s="2612"/>
      <c r="G18" s="2612"/>
      <c r="H18" s="2612"/>
      <c r="I18" s="2612"/>
      <c r="J18" s="2427"/>
      <c r="K18" s="2612" t="s">
        <v>672</v>
      </c>
      <c r="L18" s="2612"/>
      <c r="M18" s="2612"/>
      <c r="N18" s="2612"/>
      <c r="O18" s="2612"/>
      <c r="P18" s="2612"/>
      <c r="Q18" s="2427"/>
      <c r="R18" s="3161" t="s">
        <v>674</v>
      </c>
      <c r="S18" s="3162"/>
      <c r="T18" s="3162"/>
      <c r="U18" s="3162"/>
      <c r="V18" s="3162"/>
      <c r="W18" s="3162"/>
      <c r="X18" s="2427"/>
      <c r="Y18" s="3161" t="s">
        <v>675</v>
      </c>
      <c r="Z18" s="3162"/>
      <c r="AA18" s="3162"/>
      <c r="AB18" s="3162"/>
      <c r="AC18" s="3162"/>
      <c r="AD18" s="3162"/>
    </row>
    <row r="19" spans="1:30" s="2428" customFormat="1" ht="14.5" thickBot="1">
      <c r="B19" s="2431"/>
      <c r="C19" s="2432"/>
      <c r="D19" s="2429" t="s">
        <v>3082</v>
      </c>
      <c r="E19" s="2430" t="s">
        <v>3083</v>
      </c>
      <c r="F19" s="2430" t="s">
        <v>3084</v>
      </c>
      <c r="G19" s="2430" t="s">
        <v>514</v>
      </c>
      <c r="H19" s="2430"/>
      <c r="I19" s="2430" t="s">
        <v>2710</v>
      </c>
      <c r="J19" s="2433"/>
      <c r="K19" s="2429" t="s">
        <v>3082</v>
      </c>
      <c r="L19" s="2430" t="s">
        <v>3083</v>
      </c>
      <c r="M19" s="2430" t="s">
        <v>3084</v>
      </c>
      <c r="N19" s="2430" t="s">
        <v>514</v>
      </c>
      <c r="O19" s="2430"/>
      <c r="P19" s="2430" t="s">
        <v>2710</v>
      </c>
      <c r="Q19" s="2433"/>
      <c r="R19" s="2429" t="s">
        <v>3082</v>
      </c>
      <c r="S19" s="2430" t="s">
        <v>3083</v>
      </c>
      <c r="T19" s="2430" t="s">
        <v>3084</v>
      </c>
      <c r="U19" s="2430" t="s">
        <v>514</v>
      </c>
      <c r="V19" s="2430"/>
      <c r="W19" s="2430" t="s">
        <v>2710</v>
      </c>
      <c r="X19" s="2433"/>
      <c r="Y19" s="2429" t="s">
        <v>3082</v>
      </c>
      <c r="Z19" s="2430" t="s">
        <v>3083</v>
      </c>
      <c r="AA19" s="2430" t="s">
        <v>3084</v>
      </c>
      <c r="AB19" s="2430" t="s">
        <v>514</v>
      </c>
      <c r="AC19" s="2430"/>
      <c r="AD19" s="2430" t="s">
        <v>2710</v>
      </c>
    </row>
    <row r="20" spans="1:30" s="2700" customFormat="1" ht="13">
      <c r="A20" s="2698" t="s">
        <v>2372</v>
      </c>
      <c r="B20" s="2699"/>
      <c r="E20" s="2700">
        <f t="shared" ref="E20:G20" si="25">ROUND(AVERAGEIF(E21:E30,"&lt;&gt;0"),2)</f>
        <v>0.41</v>
      </c>
      <c r="F20" s="2700">
        <f t="shared" si="25"/>
        <v>0.27</v>
      </c>
      <c r="G20" s="2700">
        <f t="shared" si="25"/>
        <v>0.79</v>
      </c>
      <c r="I20" s="2700">
        <f>F20</f>
        <v>0.27</v>
      </c>
      <c r="J20" s="2701"/>
      <c r="K20" s="2702"/>
      <c r="L20" s="2703">
        <f t="shared" ref="L20:N20" si="26">ROUND(AVERAGEIF(L21:L30,"&lt;&gt;0"),4)</f>
        <v>4.1000000000000003E-3</v>
      </c>
      <c r="M20" s="2703">
        <f t="shared" si="26"/>
        <v>2.7000000000000001E-3</v>
      </c>
      <c r="N20" s="2703">
        <f t="shared" si="26"/>
        <v>7.9000000000000008E-3</v>
      </c>
      <c r="O20" s="2703"/>
      <c r="P20" s="2703">
        <f>M20</f>
        <v>2.7000000000000001E-3</v>
      </c>
      <c r="Q20" s="2701"/>
      <c r="R20" s="2704"/>
      <c r="S20" s="2705">
        <f>ROUND(SUMPRODUCT(PRODUCT(1+L21:L30)),4)</f>
        <v>1.0246</v>
      </c>
      <c r="T20" s="2705">
        <f t="shared" ref="T20:U20" si="27">ROUND(SUMPRODUCT(PRODUCT(1+M21:M30)),4)</f>
        <v>1.0163</v>
      </c>
      <c r="U20" s="2705">
        <f t="shared" si="27"/>
        <v>1.0482</v>
      </c>
      <c r="V20" s="2705"/>
      <c r="W20" s="2704">
        <f>T20</f>
        <v>1.0163</v>
      </c>
      <c r="X20" s="2701"/>
      <c r="Y20" s="2706"/>
      <c r="Z20" s="2707">
        <f t="shared" ref="Z20:AB20" si="28">ROUND(AVERAGEIF(Z21:Z30,"&lt;&gt;0"),4)</f>
        <v>4.4999999999999997E-3</v>
      </c>
      <c r="AA20" s="2708">
        <f t="shared" si="28"/>
        <v>3.8999999999999998E-3</v>
      </c>
      <c r="AB20" s="2706">
        <f t="shared" si="28"/>
        <v>9.2999999999999992E-3</v>
      </c>
      <c r="AC20" s="2709"/>
      <c r="AD20" s="2706">
        <f>AA20</f>
        <v>3.8999999999999998E-3</v>
      </c>
    </row>
    <row r="21" spans="1:30" s="521" customFormat="1" ht="13">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ht="13">
      <c r="A22" s="2447" t="s">
        <v>3069</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1.0210999999999999</v>
      </c>
      <c r="T22" s="517">
        <f>ROUND(IF(项目基本情况!$B$8="出让",SUMPRODUCT(PRODUCT(1+M22:M$30)),SUMPRODUCT(PRODUCT(1+M22:M$29))),4)</f>
        <v>1.0114000000000001</v>
      </c>
      <c r="U22" s="517">
        <f>ROUND(IF(项目基本情况!$B$8="出让",SUMPRODUCT(PRODUCT(1+N22:N$30)),SUMPRODUCT(PRODUCT(1+N22:N$29))),4)</f>
        <v>1.0381</v>
      </c>
      <c r="V22" s="517"/>
      <c r="W22" s="517">
        <f>T22</f>
        <v>1.0114000000000001</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ht="12.5">
      <c r="A23" s="2447" t="s">
        <v>3068</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1.0210999999999999</v>
      </c>
      <c r="T23" s="517">
        <f>ROUND(IF(项目基本情况!$B$8="出让",SUMPRODUCT(PRODUCT(1+M23:M$30)),SUMPRODUCT(PRODUCT(1+M23:M$29))),4)</f>
        <v>1.0114000000000001</v>
      </c>
      <c r="U23" s="517">
        <f>ROUND(IF(项目基本情况!$B$8="出让",SUMPRODUCT(PRODUCT(1+N23:N$30)),SUMPRODUCT(PRODUCT(1+N23:N$29))),4)</f>
        <v>1.0381</v>
      </c>
      <c r="V23" s="517"/>
      <c r="W23" s="517">
        <f t="shared" ref="W23:W30" si="34">T23</f>
        <v>1.0114000000000001</v>
      </c>
      <c r="X23" s="2448"/>
      <c r="Y23" s="396"/>
      <c r="Z23" s="397">
        <f t="shared" ref="Z23:AD30" si="35">IF(E23=0,0,ROUND(AVERAGE(E23:E31)/100,4))</f>
        <v>0</v>
      </c>
      <c r="AA23" s="398">
        <f t="shared" si="35"/>
        <v>0</v>
      </c>
      <c r="AB23" s="396">
        <f t="shared" si="35"/>
        <v>0</v>
      </c>
      <c r="AC23" s="399"/>
      <c r="AD23" s="396">
        <f t="shared" si="35"/>
        <v>0</v>
      </c>
    </row>
    <row r="24" spans="1:30" s="2450" customFormat="1" ht="13">
      <c r="A24" s="2447" t="s">
        <v>3067</v>
      </c>
      <c r="B24" s="511">
        <v>2022</v>
      </c>
      <c r="C24" s="492">
        <v>3</v>
      </c>
      <c r="D24" s="493"/>
      <c r="E24" s="493">
        <v>0</v>
      </c>
      <c r="F24" s="493">
        <v>0</v>
      </c>
      <c r="G24" s="493">
        <v>0</v>
      </c>
      <c r="H24" s="493"/>
      <c r="I24" s="494">
        <f t="shared" si="29"/>
        <v>0</v>
      </c>
      <c r="J24" s="2448"/>
      <c r="K24" s="400"/>
      <c r="L24" s="396">
        <f t="shared" si="30"/>
        <v>0</v>
      </c>
      <c r="M24" s="396">
        <f t="shared" si="31"/>
        <v>0</v>
      </c>
      <c r="N24" s="396">
        <f t="shared" si="32"/>
        <v>0</v>
      </c>
      <c r="O24" s="396"/>
      <c r="P24" s="396">
        <f t="shared" si="33"/>
        <v>0</v>
      </c>
      <c r="Q24" s="2448"/>
      <c r="R24" s="517"/>
      <c r="S24" s="517">
        <f>ROUND(IF(项目基本情况!$B$8="出让",SUMPRODUCT(PRODUCT(1+L24:L$30)),SUMPRODUCT(PRODUCT(1+L24:L$29))),4)</f>
        <v>1.0210999999999999</v>
      </c>
      <c r="T24" s="517">
        <f>ROUND(IF(项目基本情况!$B$8="出让",SUMPRODUCT(PRODUCT(1+M24:M$30)),SUMPRODUCT(PRODUCT(1+M24:M$29))),4)</f>
        <v>1.0114000000000001</v>
      </c>
      <c r="U24" s="517">
        <f>ROUND(IF(项目基本情况!$B$8="出让",SUMPRODUCT(PRODUCT(1+N24:N$30)),SUMPRODUCT(PRODUCT(1+N24:N$29))),4)</f>
        <v>1.0381</v>
      </c>
      <c r="V24" s="517"/>
      <c r="W24" s="517">
        <f t="shared" si="34"/>
        <v>1.0114000000000001</v>
      </c>
      <c r="X24" s="2448"/>
      <c r="Y24" s="396"/>
      <c r="Z24" s="397">
        <f t="shared" si="35"/>
        <v>0</v>
      </c>
      <c r="AA24" s="398">
        <f t="shared" si="35"/>
        <v>0</v>
      </c>
      <c r="AB24" s="396">
        <f t="shared" si="35"/>
        <v>0</v>
      </c>
      <c r="AC24" s="399"/>
      <c r="AD24" s="396">
        <f t="shared" si="35"/>
        <v>0</v>
      </c>
    </row>
    <row r="25" spans="1:30" s="2454" customFormat="1" ht="13">
      <c r="A25" s="2452" t="s">
        <v>3094</v>
      </c>
      <c r="B25" s="499">
        <v>2022</v>
      </c>
      <c r="C25" s="500">
        <v>2</v>
      </c>
      <c r="D25" s="501"/>
      <c r="E25" s="501">
        <v>-0.11</v>
      </c>
      <c r="F25" s="501">
        <v>-0.13</v>
      </c>
      <c r="G25" s="501">
        <v>0.53</v>
      </c>
      <c r="H25" s="2613"/>
      <c r="I25" s="502">
        <f t="shared" si="29"/>
        <v>-0.13</v>
      </c>
      <c r="J25" s="525"/>
      <c r="K25" s="402"/>
      <c r="L25" s="403">
        <f t="shared" si="30"/>
        <v>-1.1000000000000001E-3</v>
      </c>
      <c r="M25" s="403">
        <f t="shared" si="31"/>
        <v>-1.2999999999999999E-3</v>
      </c>
      <c r="N25" s="403">
        <f t="shared" si="32"/>
        <v>5.3E-3</v>
      </c>
      <c r="O25" s="403"/>
      <c r="P25" s="403">
        <f t="shared" si="33"/>
        <v>-1.2999999999999999E-3</v>
      </c>
      <c r="Q25" s="525"/>
      <c r="R25" s="525"/>
      <c r="S25" s="525">
        <f>ROUND(IF(项目基本情况!$B$8="出让",SUMPRODUCT(PRODUCT(1+L25:L$30)),SUMPRODUCT(PRODUCT(1+L25:L$29))),4)</f>
        <v>1.0210999999999999</v>
      </c>
      <c r="T25" s="525">
        <f>ROUND(IF(项目基本情况!$B$8="出让",SUMPRODUCT(PRODUCT(1+M25:M$30)),SUMPRODUCT(PRODUCT(1+M25:M$29))),4)</f>
        <v>1.0114000000000001</v>
      </c>
      <c r="U25" s="525">
        <f>ROUND(IF(项目基本情况!$B$8="出让",SUMPRODUCT(PRODUCT(1+N25:N$30)),SUMPRODUCT(PRODUCT(1+N25:N$29))),4)</f>
        <v>1.0381</v>
      </c>
      <c r="V25" s="525"/>
      <c r="W25" s="525">
        <f t="shared" si="34"/>
        <v>1.0114000000000001</v>
      </c>
      <c r="X25" s="525"/>
      <c r="Y25" s="403"/>
      <c r="Z25" s="404">
        <f t="shared" si="35"/>
        <v>4.1000000000000003E-3</v>
      </c>
      <c r="AA25" s="405">
        <f t="shared" si="35"/>
        <v>2.7000000000000001E-3</v>
      </c>
      <c r="AB25" s="403">
        <f t="shared" si="35"/>
        <v>7.9000000000000008E-3</v>
      </c>
      <c r="AC25" s="406"/>
      <c r="AD25" s="403">
        <f t="shared" si="35"/>
        <v>2.7000000000000001E-3</v>
      </c>
    </row>
    <row r="26" spans="1:30" s="2450" customFormat="1" ht="13">
      <c r="A26" s="2447" t="s">
        <v>3093</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ht="13">
      <c r="A27" s="2447" t="s">
        <v>3076</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ht="13">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ht="13">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ht="13.5"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4.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90625" defaultRowHeight="12"/>
  <cols>
    <col min="1" max="1" width="9.6328125" style="2517" customWidth="1"/>
    <col min="2" max="2" width="18.6328125" style="2517" customWidth="1"/>
    <col min="3" max="6" width="10.26953125" style="2517" customWidth="1"/>
    <col min="7" max="7" width="10.453125" style="2517" bestFit="1" customWidth="1"/>
    <col min="8" max="8" width="8.90625" style="2513"/>
    <col min="9" max="9" width="13.36328125" style="2513" customWidth="1"/>
    <col min="10" max="13" width="13.36328125" style="2517" customWidth="1"/>
    <col min="14" max="14" width="18.26953125" style="2517" customWidth="1"/>
    <col min="15" max="17" width="15.08984375" style="2517" customWidth="1"/>
    <col min="18" max="20" width="11.453125" style="2517" customWidth="1"/>
    <col min="21" max="16384" width="8.90625" style="2517"/>
  </cols>
  <sheetData>
    <row r="1" spans="1:20" ht="12.5" thickBot="1">
      <c r="A1" s="3175" t="s">
        <v>3039</v>
      </c>
      <c r="B1" s="3175"/>
      <c r="C1" s="3175"/>
      <c r="D1" s="3175"/>
      <c r="E1" s="3175"/>
      <c r="F1" s="3175"/>
      <c r="G1" s="3176"/>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2.5"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c r="A3" s="3177"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2.5" thickBot="1">
      <c r="A4" s="3178"/>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c r="A5" s="2529" t="s">
        <v>579</v>
      </c>
      <c r="B5" s="2520" t="s">
        <v>3040</v>
      </c>
      <c r="C5" s="2520">
        <v>34550</v>
      </c>
      <c r="D5" s="2520">
        <v>34470</v>
      </c>
      <c r="E5" s="2520">
        <v>34470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2.5" thickBot="1">
      <c r="A6" s="2524" t="s">
        <v>184</v>
      </c>
      <c r="B6" s="2524" t="s">
        <v>3041</v>
      </c>
      <c r="C6" s="2524">
        <v>36990</v>
      </c>
      <c r="D6" s="2524">
        <v>36850</v>
      </c>
      <c r="E6" s="2524">
        <v>36850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c r="A7" s="2524" t="s">
        <v>184</v>
      </c>
      <c r="B7" s="2525" t="s">
        <v>173</v>
      </c>
      <c r="C7" s="2524">
        <v>34850</v>
      </c>
      <c r="D7" s="2524">
        <v>34690</v>
      </c>
      <c r="E7" s="2524">
        <v>34690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2.5" thickBot="1">
      <c r="A8" s="2524" t="s">
        <v>184</v>
      </c>
      <c r="B8" s="2524" t="s">
        <v>185</v>
      </c>
      <c r="C8" s="2524">
        <v>32630</v>
      </c>
      <c r="D8" s="2524">
        <v>32510</v>
      </c>
      <c r="E8" s="2524">
        <v>32510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2.5" thickBot="1">
      <c r="A9" s="2532" t="s">
        <v>184</v>
      </c>
      <c r="B9" s="2530" t="s">
        <v>196</v>
      </c>
      <c r="C9" s="2531">
        <v>36370</v>
      </c>
      <c r="D9" s="2531">
        <v>36210</v>
      </c>
      <c r="E9" s="2531">
        <v>36210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2.5"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2.5"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2.5"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2.5"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2.5"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2.5"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c r="A42" s="2524" t="s">
        <v>379</v>
      </c>
      <c r="B42" s="2525" t="s">
        <v>272</v>
      </c>
      <c r="C42" s="2524">
        <v>24800</v>
      </c>
      <c r="D42" s="2524">
        <v>22280</v>
      </c>
      <c r="E42" s="2524">
        <v>24350</v>
      </c>
      <c r="F42" s="2524"/>
      <c r="G42" s="2537">
        <v>15590</v>
      </c>
      <c r="N42" s="2524" t="s">
        <v>2937</v>
      </c>
      <c r="O42" s="2524" t="s">
        <v>409</v>
      </c>
      <c r="P42" s="2524" t="s">
        <v>3005</v>
      </c>
      <c r="Q42" s="2524" t="s">
        <v>408</v>
      </c>
    </row>
    <row r="43" spans="1:17">
      <c r="A43" s="2524" t="s">
        <v>2942</v>
      </c>
      <c r="B43" s="2525" t="s">
        <v>282</v>
      </c>
      <c r="C43" s="2524">
        <v>21210</v>
      </c>
      <c r="D43" s="2524">
        <v>21160</v>
      </c>
      <c r="E43" s="2524">
        <v>22650</v>
      </c>
      <c r="F43" s="2524"/>
      <c r="G43" s="2537">
        <v>14800</v>
      </c>
      <c r="N43" s="2524" t="s">
        <v>2938</v>
      </c>
      <c r="O43" s="2524" t="s">
        <v>2991</v>
      </c>
      <c r="P43" s="2524" t="s">
        <v>407</v>
      </c>
      <c r="Q43" s="2524" t="s">
        <v>412</v>
      </c>
    </row>
    <row r="44" spans="1:17" ht="12.5"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2.5" thickBot="1">
      <c r="A45" s="2524" t="s">
        <v>379</v>
      </c>
      <c r="B45" s="2525" t="s">
        <v>301</v>
      </c>
      <c r="C45" s="2524">
        <v>21240</v>
      </c>
      <c r="D45" s="2524">
        <v>27050</v>
      </c>
      <c r="E45" s="2524">
        <v>28000</v>
      </c>
      <c r="F45" s="2524"/>
      <c r="G45" s="2537">
        <v>18940</v>
      </c>
      <c r="N45" s="2524" t="s">
        <v>2954</v>
      </c>
      <c r="O45" s="2531" t="s">
        <v>2992</v>
      </c>
      <c r="Q45" s="2524" t="s">
        <v>414</v>
      </c>
    </row>
    <row r="46" spans="1:17">
      <c r="A46" s="2524" t="s">
        <v>379</v>
      </c>
      <c r="B46" s="2525" t="s">
        <v>310</v>
      </c>
      <c r="C46" s="2524">
        <v>23240</v>
      </c>
      <c r="D46" s="2524">
        <v>23000</v>
      </c>
      <c r="E46" s="2524">
        <v>24980</v>
      </c>
      <c r="F46" s="2524"/>
      <c r="G46" s="2537">
        <v>16100</v>
      </c>
      <c r="N46" s="2524" t="s">
        <v>2955</v>
      </c>
      <c r="Q46" s="2524" t="s">
        <v>410</v>
      </c>
    </row>
    <row r="47" spans="1:17">
      <c r="A47" s="2524" t="s">
        <v>379</v>
      </c>
      <c r="B47" s="2525" t="s">
        <v>320</v>
      </c>
      <c r="C47" s="2524">
        <v>27150</v>
      </c>
      <c r="D47" s="2524">
        <v>23310</v>
      </c>
      <c r="E47" s="2524">
        <v>25150</v>
      </c>
      <c r="F47" s="2524"/>
      <c r="G47" s="2537">
        <v>16310</v>
      </c>
      <c r="N47" s="2524" t="s">
        <v>2957</v>
      </c>
      <c r="Q47" s="2524" t="s">
        <v>411</v>
      </c>
    </row>
    <row r="48" spans="1:17">
      <c r="A48" s="2524" t="s">
        <v>379</v>
      </c>
      <c r="B48" s="2525" t="s">
        <v>329</v>
      </c>
      <c r="C48" s="2524">
        <v>23100</v>
      </c>
      <c r="D48" s="2524">
        <v>21110</v>
      </c>
      <c r="E48" s="2524">
        <v>23080</v>
      </c>
      <c r="F48" s="2524"/>
      <c r="G48" s="2537">
        <v>14780</v>
      </c>
      <c r="N48" s="2524" t="s">
        <v>2956</v>
      </c>
      <c r="Q48" s="2524" t="s">
        <v>3019</v>
      </c>
    </row>
    <row r="49" spans="1:17">
      <c r="A49" s="2524" t="s">
        <v>379</v>
      </c>
      <c r="B49" s="2525" t="s">
        <v>336</v>
      </c>
      <c r="C49" s="2524">
        <v>23400</v>
      </c>
      <c r="D49" s="2524">
        <v>22920</v>
      </c>
      <c r="E49" s="2524">
        <v>24900</v>
      </c>
      <c r="F49" s="2524"/>
      <c r="G49" s="2537">
        <v>16040</v>
      </c>
      <c r="N49" s="2524" t="s">
        <v>2965</v>
      </c>
      <c r="Q49" s="2524" t="s">
        <v>415</v>
      </c>
    </row>
    <row r="50" spans="1:17">
      <c r="A50" s="2524" t="s">
        <v>379</v>
      </c>
      <c r="B50" s="2525" t="s">
        <v>2904</v>
      </c>
      <c r="C50" s="2524">
        <v>21200</v>
      </c>
      <c r="D50" s="2524">
        <v>26540</v>
      </c>
      <c r="E50" s="2524">
        <v>23200</v>
      </c>
      <c r="F50" s="2524"/>
      <c r="G50" s="2537">
        <v>18580</v>
      </c>
      <c r="N50" s="2524" t="s">
        <v>2963</v>
      </c>
      <c r="Q50" s="2525" t="s">
        <v>3020</v>
      </c>
    </row>
    <row r="51" spans="1:17" ht="12.5" thickBot="1">
      <c r="A51" s="2524" t="s">
        <v>379</v>
      </c>
      <c r="B51" s="2525" t="s">
        <v>2905</v>
      </c>
      <c r="C51" s="2524">
        <v>23000</v>
      </c>
      <c r="D51" s="2524">
        <v>23460</v>
      </c>
      <c r="E51" s="2524">
        <v>25290</v>
      </c>
      <c r="F51" s="2524"/>
      <c r="G51" s="2537">
        <v>16420</v>
      </c>
      <c r="N51" s="2524" t="s">
        <v>2958</v>
      </c>
      <c r="Q51" s="2531" t="s">
        <v>3021</v>
      </c>
    </row>
    <row r="52" spans="1:17">
      <c r="A52" s="2524" t="s">
        <v>379</v>
      </c>
      <c r="B52" s="2525" t="s">
        <v>2906</v>
      </c>
      <c r="C52" s="2524">
        <v>26660</v>
      </c>
      <c r="D52" s="2524">
        <v>22350</v>
      </c>
      <c r="E52" s="2524">
        <v>22920</v>
      </c>
      <c r="F52" s="2524"/>
      <c r="G52" s="2537">
        <v>15640</v>
      </c>
      <c r="N52" s="2524" t="s">
        <v>2959</v>
      </c>
    </row>
    <row r="53" spans="1:17">
      <c r="A53" s="2524" t="s">
        <v>379</v>
      </c>
      <c r="B53" s="2525" t="s">
        <v>2907</v>
      </c>
      <c r="C53" s="2524">
        <v>23580</v>
      </c>
      <c r="D53" s="2524"/>
      <c r="E53" s="2524">
        <v>24280</v>
      </c>
      <c r="F53" s="2524"/>
      <c r="G53" s="2537"/>
      <c r="N53" s="2524" t="s">
        <v>2960</v>
      </c>
    </row>
    <row r="54" spans="1:17" ht="12.5" thickBot="1">
      <c r="A54" s="2538" t="s">
        <v>379</v>
      </c>
      <c r="B54" s="2530" t="s">
        <v>2908</v>
      </c>
      <c r="C54" s="2531">
        <v>22460</v>
      </c>
      <c r="D54" s="2531"/>
      <c r="E54" s="2531"/>
      <c r="F54" s="2531"/>
      <c r="G54" s="2539"/>
      <c r="N54" s="2524" t="s">
        <v>2961</v>
      </c>
    </row>
    <row r="55" spans="1:17">
      <c r="A55" s="2529" t="s">
        <v>113</v>
      </c>
      <c r="B55" s="2520" t="s">
        <v>416</v>
      </c>
      <c r="C55" s="2524">
        <v>21970</v>
      </c>
      <c r="D55" s="2524">
        <v>20370</v>
      </c>
      <c r="E55" s="2524">
        <v>20180</v>
      </c>
      <c r="F55" s="2524">
        <v>5730</v>
      </c>
      <c r="G55" s="2524">
        <v>13820</v>
      </c>
      <c r="N55" s="2524" t="s">
        <v>2962</v>
      </c>
    </row>
    <row r="56" spans="1:17">
      <c r="A56" s="2524" t="s">
        <v>113</v>
      </c>
      <c r="B56" s="2524" t="s">
        <v>162</v>
      </c>
      <c r="C56" s="2524">
        <v>20470</v>
      </c>
      <c r="D56" s="2524">
        <v>20700</v>
      </c>
      <c r="E56" s="2524">
        <v>20380</v>
      </c>
      <c r="F56" s="2524">
        <v>4760</v>
      </c>
      <c r="G56" s="2524">
        <v>14050</v>
      </c>
      <c r="N56" s="2524" t="s">
        <v>2964</v>
      </c>
    </row>
    <row r="57" spans="1:17">
      <c r="A57" s="2524" t="s">
        <v>113</v>
      </c>
      <c r="B57" s="2524" t="s">
        <v>175</v>
      </c>
      <c r="C57" s="2524">
        <v>20790</v>
      </c>
      <c r="D57" s="2524">
        <v>21370</v>
      </c>
      <c r="E57" s="2524">
        <v>20890</v>
      </c>
      <c r="F57" s="2524">
        <v>4910</v>
      </c>
      <c r="G57" s="2524">
        <v>14510</v>
      </c>
      <c r="N57" s="2524" t="s">
        <v>2966</v>
      </c>
    </row>
    <row r="58" spans="1:17">
      <c r="A58" s="2524" t="s">
        <v>113</v>
      </c>
      <c r="B58" s="2524" t="s">
        <v>188</v>
      </c>
      <c r="C58" s="2524">
        <v>21460</v>
      </c>
      <c r="D58" s="2524">
        <v>20920</v>
      </c>
      <c r="E58" s="2524">
        <v>23410</v>
      </c>
      <c r="F58" s="2524">
        <v>5100</v>
      </c>
      <c r="G58" s="2524">
        <v>14200</v>
      </c>
      <c r="N58" s="2524" t="s">
        <v>2967</v>
      </c>
    </row>
    <row r="59" spans="1:17">
      <c r="A59" s="2524" t="s">
        <v>113</v>
      </c>
      <c r="B59" s="2524" t="s">
        <v>199</v>
      </c>
      <c r="C59" s="2524">
        <v>21000</v>
      </c>
      <c r="D59" s="2524">
        <v>21550</v>
      </c>
      <c r="E59" s="2524">
        <v>21150</v>
      </c>
      <c r="F59" s="2524">
        <v>5250</v>
      </c>
      <c r="G59" s="2524">
        <v>14630</v>
      </c>
      <c r="N59" s="2524" t="s">
        <v>2968</v>
      </c>
    </row>
    <row r="60" spans="1:17">
      <c r="A60" s="2524" t="s">
        <v>113</v>
      </c>
      <c r="B60" s="2524" t="s">
        <v>208</v>
      </c>
      <c r="C60" s="2524">
        <v>21640</v>
      </c>
      <c r="D60" s="2524">
        <v>21260</v>
      </c>
      <c r="E60" s="2524">
        <v>24040</v>
      </c>
      <c r="F60" s="2524">
        <v>4470</v>
      </c>
      <c r="G60" s="2524">
        <v>14430</v>
      </c>
      <c r="N60" s="2524" t="s">
        <v>2969</v>
      </c>
    </row>
    <row r="61" spans="1:17">
      <c r="A61" s="2524" t="s">
        <v>113</v>
      </c>
      <c r="B61" s="2524" t="s">
        <v>218</v>
      </c>
      <c r="C61" s="2524">
        <v>21330</v>
      </c>
      <c r="D61" s="2524">
        <v>18640</v>
      </c>
      <c r="E61" s="2524">
        <v>21190</v>
      </c>
      <c r="F61" s="2524">
        <v>4180</v>
      </c>
      <c r="G61" s="2524">
        <v>12650</v>
      </c>
      <c r="N61" s="2524" t="s">
        <v>2970</v>
      </c>
    </row>
    <row r="62" spans="1:17">
      <c r="A62" s="2524" t="s">
        <v>113</v>
      </c>
      <c r="B62" s="2524" t="s">
        <v>228</v>
      </c>
      <c r="C62" s="2524">
        <v>18710</v>
      </c>
      <c r="D62" s="2524">
        <v>19400</v>
      </c>
      <c r="E62" s="2524">
        <v>23750</v>
      </c>
      <c r="F62" s="2524">
        <v>4860</v>
      </c>
      <c r="G62" s="2524">
        <v>13170</v>
      </c>
      <c r="N62" s="2524" t="s">
        <v>2971</v>
      </c>
    </row>
    <row r="63" spans="1:17">
      <c r="A63" s="2524" t="s">
        <v>113</v>
      </c>
      <c r="B63" s="2524" t="s">
        <v>238</v>
      </c>
      <c r="C63" s="2524">
        <v>19480</v>
      </c>
      <c r="D63" s="2524">
        <v>16830</v>
      </c>
      <c r="E63" s="2524">
        <v>21590</v>
      </c>
      <c r="F63" s="2524">
        <v>4560</v>
      </c>
      <c r="G63" s="2524">
        <v>11420</v>
      </c>
      <c r="N63" s="2524" t="s">
        <v>2972</v>
      </c>
    </row>
    <row r="64" spans="1:17" ht="12.5" thickBot="1">
      <c r="A64" s="2524" t="s">
        <v>113</v>
      </c>
      <c r="B64" s="2524" t="s">
        <v>248</v>
      </c>
      <c r="C64" s="2524">
        <v>16920</v>
      </c>
      <c r="D64" s="2524">
        <v>19190</v>
      </c>
      <c r="E64" s="2524">
        <v>22200</v>
      </c>
      <c r="F64" s="2524">
        <v>4390</v>
      </c>
      <c r="G64" s="2524">
        <v>13030</v>
      </c>
      <c r="N64" s="2531" t="s">
        <v>2973</v>
      </c>
    </row>
    <row r="65" spans="1:7" s="2513" customFormat="1">
      <c r="A65" s="2524" t="s">
        <v>113</v>
      </c>
      <c r="B65" s="2524" t="s">
        <v>257</v>
      </c>
      <c r="C65" s="2524">
        <v>19290</v>
      </c>
      <c r="D65" s="2524">
        <v>17020</v>
      </c>
      <c r="E65" s="2524">
        <v>19880</v>
      </c>
      <c r="F65" s="2524">
        <v>4070</v>
      </c>
      <c r="G65" s="2524">
        <v>11550</v>
      </c>
    </row>
    <row r="66" spans="1:7" s="2513" customFormat="1">
      <c r="A66" s="2524" t="s">
        <v>113</v>
      </c>
      <c r="B66" s="2524" t="s">
        <v>265</v>
      </c>
      <c r="C66" s="2524">
        <v>17090</v>
      </c>
      <c r="D66" s="2524">
        <v>18340</v>
      </c>
      <c r="E66" s="2524">
        <v>21830</v>
      </c>
      <c r="F66" s="2524">
        <v>4690</v>
      </c>
      <c r="G66" s="2524">
        <v>12450</v>
      </c>
    </row>
    <row r="67" spans="1:7" s="2513" customFormat="1">
      <c r="A67" s="2524" t="s">
        <v>113</v>
      </c>
      <c r="B67" s="2524" t="s">
        <v>273</v>
      </c>
      <c r="C67" s="2524">
        <v>18420</v>
      </c>
      <c r="D67" s="2524">
        <v>16360</v>
      </c>
      <c r="E67" s="2524">
        <v>20020</v>
      </c>
      <c r="F67" s="2524">
        <v>5150</v>
      </c>
      <c r="G67" s="2524">
        <v>11110</v>
      </c>
    </row>
    <row r="68" spans="1:7" s="2513" customFormat="1">
      <c r="A68" s="2524" t="s">
        <v>113</v>
      </c>
      <c r="B68" s="2524" t="s">
        <v>283</v>
      </c>
      <c r="C68" s="2524">
        <v>16450</v>
      </c>
      <c r="D68" s="2524">
        <v>18430</v>
      </c>
      <c r="E68" s="2524">
        <v>21010</v>
      </c>
      <c r="F68" s="2524">
        <v>4720</v>
      </c>
      <c r="G68" s="2524">
        <v>12510</v>
      </c>
    </row>
    <row r="69" spans="1:7" s="2513" customFormat="1">
      <c r="A69" s="2524" t="s">
        <v>113</v>
      </c>
      <c r="B69" s="2524" t="s">
        <v>293</v>
      </c>
      <c r="C69" s="2524">
        <v>18510</v>
      </c>
      <c r="D69" s="2524">
        <v>16300</v>
      </c>
      <c r="E69" s="2524">
        <v>18830</v>
      </c>
      <c r="F69" s="2524">
        <v>5400</v>
      </c>
      <c r="G69" s="2524">
        <v>11070</v>
      </c>
    </row>
    <row r="70" spans="1:7" s="2513" customFormat="1">
      <c r="A70" s="2524" t="s">
        <v>113</v>
      </c>
      <c r="B70" s="2524" t="s">
        <v>302</v>
      </c>
      <c r="C70" s="2524">
        <v>16370</v>
      </c>
      <c r="D70" s="2524">
        <v>18620</v>
      </c>
      <c r="E70" s="2524">
        <v>21100</v>
      </c>
      <c r="F70" s="2524">
        <v>5700</v>
      </c>
      <c r="G70" s="2524">
        <v>12640</v>
      </c>
    </row>
    <row r="71" spans="1:7" s="2513" customFormat="1">
      <c r="A71" s="2524" t="s">
        <v>113</v>
      </c>
      <c r="B71" s="2524" t="s">
        <v>311</v>
      </c>
      <c r="C71" s="2524">
        <v>18700</v>
      </c>
      <c r="D71" s="2524">
        <v>16290</v>
      </c>
      <c r="E71" s="2524">
        <v>18760</v>
      </c>
      <c r="F71" s="2524">
        <v>4780</v>
      </c>
      <c r="G71" s="2524">
        <v>11050</v>
      </c>
    </row>
    <row r="72" spans="1:7" s="2513" customFormat="1">
      <c r="A72" s="2524" t="s">
        <v>113</v>
      </c>
      <c r="B72" s="2524" t="s">
        <v>321</v>
      </c>
      <c r="C72" s="2524">
        <v>16340</v>
      </c>
      <c r="D72" s="2524">
        <v>17520</v>
      </c>
      <c r="E72" s="2524">
        <v>21170</v>
      </c>
      <c r="F72" s="2524"/>
      <c r="G72" s="2524">
        <v>11900</v>
      </c>
    </row>
    <row r="73" spans="1:7" s="2513" customFormat="1">
      <c r="A73" s="2524" t="s">
        <v>113</v>
      </c>
      <c r="B73" s="2524" t="s">
        <v>330</v>
      </c>
      <c r="C73" s="2524">
        <v>17610</v>
      </c>
      <c r="D73" s="2524">
        <v>18520</v>
      </c>
      <c r="E73" s="2524">
        <v>18720</v>
      </c>
      <c r="F73" s="2524"/>
      <c r="G73" s="2524">
        <v>12570</v>
      </c>
    </row>
    <row r="74" spans="1:7" s="2513" customFormat="1">
      <c r="A74" s="2524" t="s">
        <v>113</v>
      </c>
      <c r="B74" s="2524" t="s">
        <v>337</v>
      </c>
      <c r="C74" s="2524">
        <v>18600</v>
      </c>
      <c r="D74" s="2524">
        <v>16480</v>
      </c>
      <c r="E74" s="2524">
        <v>20100</v>
      </c>
      <c r="F74" s="2524"/>
      <c r="G74" s="2524">
        <v>11190</v>
      </c>
    </row>
    <row r="75" spans="1:7" s="2513" customFormat="1">
      <c r="A75" s="2524" t="s">
        <v>113</v>
      </c>
      <c r="B75" s="2524" t="s">
        <v>344</v>
      </c>
      <c r="C75" s="2524">
        <v>16570</v>
      </c>
      <c r="D75" s="2524">
        <v>17530</v>
      </c>
      <c r="E75" s="2524">
        <v>21030</v>
      </c>
      <c r="F75" s="2524"/>
      <c r="G75" s="2524">
        <v>11900</v>
      </c>
    </row>
    <row r="76" spans="1:7" s="2513" customFormat="1">
      <c r="A76" s="2524" t="s">
        <v>113</v>
      </c>
      <c r="B76" s="2524" t="s">
        <v>351</v>
      </c>
      <c r="C76" s="2524">
        <v>17610</v>
      </c>
      <c r="D76" s="2524">
        <v>20800</v>
      </c>
      <c r="E76" s="2524">
        <v>18920</v>
      </c>
      <c r="F76" s="2524"/>
      <c r="G76" s="2524">
        <v>14120</v>
      </c>
    </row>
    <row r="77" spans="1:7" s="2513" customFormat="1">
      <c r="A77" s="2524" t="s">
        <v>113</v>
      </c>
      <c r="B77" s="2524" t="s">
        <v>355</v>
      </c>
      <c r="C77" s="2524">
        <v>20890</v>
      </c>
      <c r="D77" s="2524">
        <v>19740</v>
      </c>
      <c r="E77" s="2524">
        <v>20110</v>
      </c>
      <c r="F77" s="2524"/>
      <c r="G77" s="2524">
        <v>13400</v>
      </c>
    </row>
    <row r="78" spans="1:7" s="2513" customFormat="1">
      <c r="A78" s="2524" t="s">
        <v>113</v>
      </c>
      <c r="B78" s="2524" t="s">
        <v>2909</v>
      </c>
      <c r="C78" s="2524">
        <v>19820</v>
      </c>
      <c r="D78" s="2524">
        <v>19780</v>
      </c>
      <c r="E78" s="2524">
        <v>18560</v>
      </c>
      <c r="F78" s="2524"/>
      <c r="G78" s="2524">
        <v>13430</v>
      </c>
    </row>
    <row r="79" spans="1:7" s="2513" customFormat="1">
      <c r="A79" s="2524" t="s">
        <v>113</v>
      </c>
      <c r="B79" s="2524" t="s">
        <v>2910</v>
      </c>
      <c r="C79" s="2524">
        <v>21660</v>
      </c>
      <c r="D79" s="2524">
        <v>18000</v>
      </c>
      <c r="E79" s="2524">
        <v>22570</v>
      </c>
      <c r="F79" s="2524"/>
      <c r="G79" s="2524">
        <v>12220</v>
      </c>
    </row>
    <row r="80" spans="1:7" s="2513" customFormat="1">
      <c r="A80" s="2524" t="s">
        <v>113</v>
      </c>
      <c r="B80" s="2524" t="s">
        <v>2911</v>
      </c>
      <c r="C80" s="2524">
        <v>19850</v>
      </c>
      <c r="D80" s="2524"/>
      <c r="E80" s="2524">
        <v>21700</v>
      </c>
      <c r="F80" s="2524"/>
      <c r="G80" s="2524"/>
    </row>
    <row r="81" spans="1:7" s="2513" customFormat="1">
      <c r="A81" s="2524" t="s">
        <v>113</v>
      </c>
      <c r="B81" s="2524" t="s">
        <v>2912</v>
      </c>
      <c r="C81" s="2524">
        <v>18080</v>
      </c>
      <c r="D81" s="2524"/>
      <c r="E81" s="2524">
        <v>20900</v>
      </c>
      <c r="F81" s="2524"/>
      <c r="G81" s="2524"/>
    </row>
    <row r="82" spans="1:7" s="2513" customFormat="1">
      <c r="A82" s="2524" t="s">
        <v>113</v>
      </c>
      <c r="B82" s="2524" t="s">
        <v>2913</v>
      </c>
      <c r="C82" s="2524"/>
      <c r="D82" s="2524"/>
      <c r="E82" s="2524">
        <v>20840</v>
      </c>
      <c r="F82" s="2524"/>
      <c r="G82" s="2524"/>
    </row>
    <row r="83" spans="1:7" s="2513" customFormat="1">
      <c r="A83" s="2524" t="s">
        <v>113</v>
      </c>
      <c r="B83" s="2524" t="s">
        <v>2943</v>
      </c>
      <c r="C83" s="2524"/>
      <c r="D83" s="2524"/>
      <c r="E83" s="2524"/>
      <c r="F83" s="2524">
        <v>4770</v>
      </c>
      <c r="G83" s="2524"/>
    </row>
    <row r="84" spans="1:7" s="2513" customFormat="1">
      <c r="A84" s="2524" t="s">
        <v>113</v>
      </c>
      <c r="B84" s="2524" t="s">
        <v>365</v>
      </c>
      <c r="C84" s="2524"/>
      <c r="D84" s="2524"/>
      <c r="E84" s="2524"/>
      <c r="F84" s="2524">
        <v>4600</v>
      </c>
      <c r="G84" s="2524"/>
    </row>
    <row r="85" spans="1:7" s="2513" customFormat="1">
      <c r="A85" s="2524" t="s">
        <v>113</v>
      </c>
      <c r="B85" s="2524" t="s">
        <v>375</v>
      </c>
      <c r="C85" s="2524"/>
      <c r="D85" s="2524"/>
      <c r="E85" s="2524"/>
      <c r="F85" s="2524">
        <v>4680</v>
      </c>
      <c r="G85" s="2524"/>
    </row>
    <row r="86" spans="1:7" s="2513" customFormat="1" ht="12.5" thickBot="1">
      <c r="A86" s="2532" t="s">
        <v>113</v>
      </c>
      <c r="B86" s="2534" t="s">
        <v>2944</v>
      </c>
      <c r="C86" s="2535">
        <v>16610</v>
      </c>
      <c r="D86" s="2535">
        <v>16540</v>
      </c>
      <c r="E86" s="2535">
        <v>18850</v>
      </c>
      <c r="F86" s="2535"/>
      <c r="G86" s="2535">
        <v>11220</v>
      </c>
    </row>
    <row r="87" spans="1:7" s="2513" customFormat="1">
      <c r="A87" s="2529" t="s">
        <v>417</v>
      </c>
      <c r="B87" s="2520" t="s">
        <v>418</v>
      </c>
      <c r="C87" s="2520">
        <v>15240</v>
      </c>
      <c r="D87" s="2520">
        <v>15170</v>
      </c>
      <c r="E87" s="2520">
        <v>18260</v>
      </c>
      <c r="F87" s="2520">
        <v>3830</v>
      </c>
      <c r="G87" s="2536">
        <v>10020</v>
      </c>
    </row>
    <row r="88" spans="1:7" s="2513" customFormat="1">
      <c r="A88" s="2524" t="s">
        <v>417</v>
      </c>
      <c r="B88" s="2524" t="s">
        <v>163</v>
      </c>
      <c r="C88" s="2524">
        <v>17310</v>
      </c>
      <c r="D88" s="2524">
        <v>17220</v>
      </c>
      <c r="E88" s="2524">
        <v>18610</v>
      </c>
      <c r="F88" s="2524">
        <v>3990</v>
      </c>
      <c r="G88" s="2537">
        <v>11380</v>
      </c>
    </row>
    <row r="89" spans="1:7" s="2513" customFormat="1">
      <c r="A89" s="2524" t="s">
        <v>417</v>
      </c>
      <c r="B89" s="2524" t="s">
        <v>176</v>
      </c>
      <c r="C89" s="2524">
        <v>15600</v>
      </c>
      <c r="D89" s="2524">
        <v>15550</v>
      </c>
      <c r="E89" s="2524">
        <v>19200</v>
      </c>
      <c r="F89" s="2524">
        <v>4110</v>
      </c>
      <c r="G89" s="2537">
        <v>10270</v>
      </c>
    </row>
    <row r="90" spans="1:7" s="2513" customFormat="1">
      <c r="A90" s="2524" t="s">
        <v>417</v>
      </c>
      <c r="B90" s="2524" t="s">
        <v>189</v>
      </c>
      <c r="C90" s="2524">
        <v>17330</v>
      </c>
      <c r="D90" s="2524">
        <v>17240</v>
      </c>
      <c r="E90" s="2524">
        <v>18570</v>
      </c>
      <c r="F90" s="2524">
        <v>4070</v>
      </c>
      <c r="G90" s="2537">
        <v>11390</v>
      </c>
    </row>
    <row r="91" spans="1:7" s="2513" customFormat="1">
      <c r="A91" s="2524" t="s">
        <v>417</v>
      </c>
      <c r="B91" s="2524" t="s">
        <v>200</v>
      </c>
      <c r="C91" s="2524">
        <v>16330</v>
      </c>
      <c r="D91" s="2524">
        <v>16260</v>
      </c>
      <c r="E91" s="2524">
        <v>16800</v>
      </c>
      <c r="F91" s="2524">
        <v>3410</v>
      </c>
      <c r="G91" s="2537">
        <v>10740</v>
      </c>
    </row>
    <row r="92" spans="1:7" s="2513" customFormat="1">
      <c r="A92" s="2524" t="s">
        <v>417</v>
      </c>
      <c r="B92" s="2524" t="s">
        <v>209</v>
      </c>
      <c r="C92" s="2524">
        <v>15570</v>
      </c>
      <c r="D92" s="2524">
        <v>15500</v>
      </c>
      <c r="E92" s="2524">
        <v>17360</v>
      </c>
      <c r="F92" s="2524">
        <v>3510</v>
      </c>
      <c r="G92" s="2537">
        <v>10240</v>
      </c>
    </row>
    <row r="93" spans="1:7" s="2513" customFormat="1">
      <c r="A93" s="2524" t="s">
        <v>417</v>
      </c>
      <c r="B93" s="2524" t="s">
        <v>219</v>
      </c>
      <c r="C93" s="2524">
        <v>14000</v>
      </c>
      <c r="D93" s="2524">
        <v>13930</v>
      </c>
      <c r="E93" s="2524">
        <v>18200</v>
      </c>
      <c r="F93" s="2524">
        <v>3640</v>
      </c>
      <c r="G93" s="2537">
        <v>9210</v>
      </c>
    </row>
    <row r="94" spans="1:7" s="2513" customFormat="1">
      <c r="A94" s="2524" t="s">
        <v>417</v>
      </c>
      <c r="B94" s="2524" t="s">
        <v>229</v>
      </c>
      <c r="C94" s="2524">
        <v>14530</v>
      </c>
      <c r="D94" s="2524">
        <v>14470</v>
      </c>
      <c r="E94" s="2524">
        <v>18240</v>
      </c>
      <c r="F94" s="2524">
        <v>3180</v>
      </c>
      <c r="G94" s="2537">
        <v>9560</v>
      </c>
    </row>
    <row r="95" spans="1:7" s="2513" customFormat="1">
      <c r="A95" s="2524" t="s">
        <v>417</v>
      </c>
      <c r="B95" s="2524" t="s">
        <v>239</v>
      </c>
      <c r="C95" s="2524">
        <v>17330</v>
      </c>
      <c r="D95" s="2524">
        <v>17260</v>
      </c>
      <c r="E95" s="2524">
        <v>18420</v>
      </c>
      <c r="F95" s="2524">
        <v>3060</v>
      </c>
      <c r="G95" s="2537">
        <v>11410</v>
      </c>
    </row>
    <row r="96" spans="1:7" s="2513" customFormat="1">
      <c r="A96" s="2524" t="s">
        <v>417</v>
      </c>
      <c r="B96" s="2524" t="s">
        <v>249</v>
      </c>
      <c r="C96" s="2524">
        <v>15030</v>
      </c>
      <c r="D96" s="2524">
        <v>14970</v>
      </c>
      <c r="E96" s="2524">
        <v>17580</v>
      </c>
      <c r="F96" s="2524">
        <v>2970</v>
      </c>
      <c r="G96" s="2537">
        <v>9890</v>
      </c>
    </row>
    <row r="97" spans="1:7" s="2513" customFormat="1">
      <c r="A97" s="2524" t="s">
        <v>417</v>
      </c>
      <c r="B97" s="2524" t="s">
        <v>258</v>
      </c>
      <c r="C97" s="2524">
        <v>17400</v>
      </c>
      <c r="D97" s="2524">
        <v>17330</v>
      </c>
      <c r="E97" s="2524">
        <v>16430</v>
      </c>
      <c r="F97" s="2524">
        <v>2950</v>
      </c>
      <c r="G97" s="2537">
        <v>11450</v>
      </c>
    </row>
    <row r="98" spans="1:7" s="2513" customFormat="1">
      <c r="A98" s="2524" t="s">
        <v>417</v>
      </c>
      <c r="B98" s="2524" t="s">
        <v>266</v>
      </c>
      <c r="C98" s="2524">
        <v>15200</v>
      </c>
      <c r="D98" s="2524">
        <v>15120</v>
      </c>
      <c r="E98" s="2524">
        <v>17550</v>
      </c>
      <c r="F98" s="2524">
        <v>3080</v>
      </c>
      <c r="G98" s="2537">
        <v>9990</v>
      </c>
    </row>
    <row r="99" spans="1:7" s="2513" customFormat="1">
      <c r="A99" s="2524" t="s">
        <v>417</v>
      </c>
      <c r="B99" s="2524" t="s">
        <v>274</v>
      </c>
      <c r="C99" s="2524">
        <v>17520</v>
      </c>
      <c r="D99" s="2524">
        <v>17430</v>
      </c>
      <c r="E99" s="2524">
        <v>16350</v>
      </c>
      <c r="F99" s="2524">
        <v>3260</v>
      </c>
      <c r="G99" s="2537">
        <v>11510</v>
      </c>
    </row>
    <row r="100" spans="1:7" s="2513" customFormat="1">
      <c r="A100" s="2524" t="s">
        <v>417</v>
      </c>
      <c r="B100" s="2524" t="s">
        <v>284</v>
      </c>
      <c r="C100" s="2524">
        <v>15340</v>
      </c>
      <c r="D100" s="2524">
        <v>15260</v>
      </c>
      <c r="E100" s="2524">
        <v>15930</v>
      </c>
      <c r="F100" s="2524">
        <v>2740</v>
      </c>
      <c r="G100" s="2537">
        <v>10080</v>
      </c>
    </row>
    <row r="101" spans="1:7" s="2513" customFormat="1">
      <c r="A101" s="2524" t="s">
        <v>417</v>
      </c>
      <c r="B101" s="2524" t="s">
        <v>294</v>
      </c>
      <c r="C101" s="2524">
        <v>14620</v>
      </c>
      <c r="D101" s="2524">
        <v>14560</v>
      </c>
      <c r="E101" s="2524">
        <v>15570</v>
      </c>
      <c r="F101" s="2524">
        <v>3500</v>
      </c>
      <c r="G101" s="2537">
        <v>9630</v>
      </c>
    </row>
    <row r="102" spans="1:7" s="2513" customFormat="1">
      <c r="A102" s="2524" t="s">
        <v>417</v>
      </c>
      <c r="B102" s="2524" t="s">
        <v>303</v>
      </c>
      <c r="C102" s="2524">
        <v>13680</v>
      </c>
      <c r="D102" s="2524">
        <v>13610</v>
      </c>
      <c r="E102" s="2524">
        <v>15690</v>
      </c>
      <c r="F102" s="2524">
        <v>2870</v>
      </c>
      <c r="G102" s="2537">
        <v>8990</v>
      </c>
    </row>
    <row r="103" spans="1:7" s="2513" customFormat="1">
      <c r="A103" s="2524" t="s">
        <v>417</v>
      </c>
      <c r="B103" s="2524" t="s">
        <v>312</v>
      </c>
      <c r="C103" s="2524">
        <v>14620</v>
      </c>
      <c r="D103" s="2524">
        <v>14540</v>
      </c>
      <c r="E103" s="2524">
        <v>15240</v>
      </c>
      <c r="F103" s="2524">
        <v>2840</v>
      </c>
      <c r="G103" s="2537">
        <v>9610</v>
      </c>
    </row>
    <row r="104" spans="1:7" s="2513" customFormat="1">
      <c r="A104" s="2524" t="s">
        <v>417</v>
      </c>
      <c r="B104" s="2524" t="s">
        <v>322</v>
      </c>
      <c r="C104" s="2524">
        <v>13610</v>
      </c>
      <c r="D104" s="2524">
        <v>13540</v>
      </c>
      <c r="E104" s="2524">
        <v>15750</v>
      </c>
      <c r="F104" s="2524">
        <v>2770</v>
      </c>
      <c r="G104" s="2537">
        <v>8940</v>
      </c>
    </row>
    <row r="105" spans="1:7" s="2513" customFormat="1">
      <c r="A105" s="2524" t="s">
        <v>417</v>
      </c>
      <c r="B105" s="2524" t="s">
        <v>331</v>
      </c>
      <c r="C105" s="2524">
        <v>13310</v>
      </c>
      <c r="D105" s="2524">
        <v>13240</v>
      </c>
      <c r="E105" s="2524">
        <v>16280</v>
      </c>
      <c r="F105" s="2524">
        <v>3210</v>
      </c>
      <c r="G105" s="2537">
        <v>8750</v>
      </c>
    </row>
    <row r="106" spans="1:7" s="2513" customFormat="1">
      <c r="A106" s="2524" t="s">
        <v>417</v>
      </c>
      <c r="B106" s="2524" t="s">
        <v>338</v>
      </c>
      <c r="C106" s="2524">
        <v>13010</v>
      </c>
      <c r="D106" s="2524">
        <v>12930</v>
      </c>
      <c r="E106" s="2524">
        <v>14960</v>
      </c>
      <c r="F106" s="2524">
        <v>3530</v>
      </c>
      <c r="G106" s="2537">
        <v>8550</v>
      </c>
    </row>
    <row r="107" spans="1:7" s="2513" customFormat="1">
      <c r="A107" s="2524" t="s">
        <v>417</v>
      </c>
      <c r="B107" s="2524" t="s">
        <v>345</v>
      </c>
      <c r="C107" s="2524">
        <v>13070</v>
      </c>
      <c r="D107" s="2524">
        <v>13000</v>
      </c>
      <c r="E107" s="2524">
        <v>15910</v>
      </c>
      <c r="F107" s="2524">
        <v>3990</v>
      </c>
      <c r="G107" s="2537">
        <v>8580</v>
      </c>
    </row>
    <row r="108" spans="1:7" s="2513" customFormat="1">
      <c r="A108" s="2524" t="s">
        <v>417</v>
      </c>
      <c r="B108" s="2524" t="s">
        <v>352</v>
      </c>
      <c r="C108" s="2524">
        <v>12640</v>
      </c>
      <c r="D108" s="2524">
        <v>12580</v>
      </c>
      <c r="E108" s="2524">
        <v>15730</v>
      </c>
      <c r="F108" s="2524"/>
      <c r="G108" s="2537">
        <v>8310</v>
      </c>
    </row>
    <row r="109" spans="1:7" s="2513" customFormat="1">
      <c r="A109" s="2524" t="s">
        <v>417</v>
      </c>
      <c r="B109" s="2524" t="s">
        <v>356</v>
      </c>
      <c r="C109" s="2524">
        <v>13130</v>
      </c>
      <c r="D109" s="2524">
        <v>13070</v>
      </c>
      <c r="E109" s="2524">
        <v>15000</v>
      </c>
      <c r="F109" s="2524"/>
      <c r="G109" s="2537">
        <v>8630</v>
      </c>
    </row>
    <row r="110" spans="1:7" s="2513" customFormat="1">
      <c r="A110" s="2524" t="s">
        <v>417</v>
      </c>
      <c r="B110" s="2524" t="s">
        <v>361</v>
      </c>
      <c r="C110" s="2524">
        <v>13560</v>
      </c>
      <c r="D110" s="2524">
        <v>13490</v>
      </c>
      <c r="E110" s="2524">
        <v>16300</v>
      </c>
      <c r="F110" s="2524"/>
      <c r="G110" s="2537">
        <v>8920</v>
      </c>
    </row>
    <row r="111" spans="1:7" s="2513" customFormat="1">
      <c r="A111" s="2524" t="s">
        <v>417</v>
      </c>
      <c r="B111" s="2524" t="s">
        <v>366</v>
      </c>
      <c r="C111" s="2524">
        <v>12440</v>
      </c>
      <c r="D111" s="2524">
        <v>12380</v>
      </c>
      <c r="E111" s="2524">
        <v>17850</v>
      </c>
      <c r="F111" s="2524"/>
      <c r="G111" s="2537">
        <v>8180</v>
      </c>
    </row>
    <row r="112" spans="1:7" s="2513" customFormat="1">
      <c r="A112" s="2524" t="s">
        <v>417</v>
      </c>
      <c r="B112" s="2524" t="s">
        <v>371</v>
      </c>
      <c r="C112" s="2524">
        <v>13260</v>
      </c>
      <c r="D112" s="2524">
        <v>13180</v>
      </c>
      <c r="E112" s="2524">
        <v>19740</v>
      </c>
      <c r="F112" s="2524"/>
      <c r="G112" s="2537">
        <v>8710</v>
      </c>
    </row>
    <row r="113" spans="1:7" s="2513" customFormat="1">
      <c r="A113" s="2524" t="s">
        <v>417</v>
      </c>
      <c r="B113" s="2524" t="s">
        <v>2916</v>
      </c>
      <c r="C113" s="2524">
        <v>15520</v>
      </c>
      <c r="D113" s="2524">
        <v>15450</v>
      </c>
      <c r="E113" s="2524"/>
      <c r="F113" s="2524"/>
      <c r="G113" s="2537">
        <v>10210</v>
      </c>
    </row>
    <row r="114" spans="1:7" s="2513" customFormat="1">
      <c r="A114" s="2524" t="s">
        <v>417</v>
      </c>
      <c r="B114" s="2524" t="s">
        <v>2917</v>
      </c>
      <c r="C114" s="2524">
        <v>13110</v>
      </c>
      <c r="D114" s="2524">
        <v>13050</v>
      </c>
      <c r="E114" s="2524"/>
      <c r="F114" s="2524"/>
      <c r="G114" s="2537">
        <v>8620</v>
      </c>
    </row>
    <row r="115" spans="1:7" s="2513" customFormat="1">
      <c r="A115" s="2524" t="s">
        <v>417</v>
      </c>
      <c r="B115" s="2524" t="s">
        <v>2918</v>
      </c>
      <c r="C115" s="2524">
        <v>12460</v>
      </c>
      <c r="D115" s="2524">
        <v>12390</v>
      </c>
      <c r="E115" s="2524"/>
      <c r="F115" s="2524"/>
      <c r="G115" s="2537">
        <v>8190</v>
      </c>
    </row>
    <row r="116" spans="1:7" s="2513" customFormat="1">
      <c r="A116" s="2524" t="s">
        <v>417</v>
      </c>
      <c r="B116" s="2524" t="s">
        <v>2919</v>
      </c>
      <c r="C116" s="2524">
        <v>13580</v>
      </c>
      <c r="D116" s="2524">
        <v>13520</v>
      </c>
      <c r="E116" s="2524"/>
      <c r="F116" s="2524"/>
      <c r="G116" s="2537">
        <v>8930</v>
      </c>
    </row>
    <row r="117" spans="1:7" s="2513" customFormat="1">
      <c r="A117" s="2524" t="s">
        <v>417</v>
      </c>
      <c r="B117" s="2524" t="s">
        <v>2920</v>
      </c>
      <c r="C117" s="2524">
        <v>17120</v>
      </c>
      <c r="D117" s="2524">
        <v>17040</v>
      </c>
      <c r="E117" s="2524"/>
      <c r="F117" s="2524"/>
      <c r="G117" s="2537">
        <v>11260</v>
      </c>
    </row>
    <row r="118" spans="1:7" s="2513" customFormat="1">
      <c r="A118" s="2524" t="s">
        <v>417</v>
      </c>
      <c r="B118" s="2524" t="s">
        <v>2921</v>
      </c>
      <c r="C118" s="2524">
        <v>14860</v>
      </c>
      <c r="D118" s="2524">
        <v>14790</v>
      </c>
      <c r="E118" s="2524"/>
      <c r="F118" s="2524"/>
      <c r="G118" s="2537">
        <v>9780</v>
      </c>
    </row>
    <row r="119" spans="1:7" s="2513" customFormat="1">
      <c r="A119" s="2524" t="s">
        <v>417</v>
      </c>
      <c r="B119" s="2524" t="s">
        <v>2922</v>
      </c>
      <c r="C119" s="2524">
        <v>16470</v>
      </c>
      <c r="D119" s="2524">
        <v>16400</v>
      </c>
      <c r="E119" s="2524"/>
      <c r="F119" s="2524"/>
      <c r="G119" s="2537">
        <v>10840</v>
      </c>
    </row>
    <row r="120" spans="1:7" s="2513" customFormat="1">
      <c r="A120" s="2524" t="s">
        <v>417</v>
      </c>
      <c r="B120" s="2524" t="s">
        <v>2945</v>
      </c>
      <c r="C120" s="2524"/>
      <c r="D120" s="2524"/>
      <c r="E120" s="2524"/>
      <c r="F120" s="2524">
        <v>4160</v>
      </c>
      <c r="G120" s="2537"/>
    </row>
    <row r="121" spans="1:7" s="2513" customFormat="1">
      <c r="A121" s="2524" t="s">
        <v>417</v>
      </c>
      <c r="B121" s="2524" t="s">
        <v>2946</v>
      </c>
      <c r="C121" s="2524"/>
      <c r="D121" s="2524"/>
      <c r="E121" s="2524"/>
      <c r="F121" s="2524">
        <v>3880</v>
      </c>
      <c r="G121" s="2537"/>
    </row>
    <row r="122" spans="1:7" s="2513" customFormat="1">
      <c r="A122" s="2524" t="s">
        <v>417</v>
      </c>
      <c r="B122" s="2524" t="s">
        <v>2947</v>
      </c>
      <c r="C122" s="2524">
        <v>13750</v>
      </c>
      <c r="D122" s="2524">
        <v>13680</v>
      </c>
      <c r="E122" s="2524">
        <v>16460</v>
      </c>
      <c r="F122" s="2524">
        <v>2880</v>
      </c>
      <c r="G122" s="2537">
        <v>9040</v>
      </c>
    </row>
    <row r="123" spans="1:7" s="2513" customFormat="1">
      <c r="A123" s="2524" t="s">
        <v>417</v>
      </c>
      <c r="B123" s="2524" t="s">
        <v>2925</v>
      </c>
      <c r="C123" s="2524">
        <v>13590</v>
      </c>
      <c r="D123" s="2524">
        <v>13520</v>
      </c>
      <c r="E123" s="2524">
        <v>16290</v>
      </c>
      <c r="F123" s="2524">
        <v>2790</v>
      </c>
      <c r="G123" s="2537">
        <v>8930</v>
      </c>
    </row>
    <row r="124" spans="1:7" s="2513" customFormat="1">
      <c r="A124" s="2524" t="s">
        <v>417</v>
      </c>
      <c r="B124" s="2524" t="s">
        <v>2926</v>
      </c>
      <c r="C124" s="2524">
        <v>13400</v>
      </c>
      <c r="D124" s="2524">
        <v>13320</v>
      </c>
      <c r="E124" s="2524">
        <v>16100</v>
      </c>
      <c r="F124" s="2524">
        <v>2320</v>
      </c>
      <c r="G124" s="2537">
        <v>8800</v>
      </c>
    </row>
    <row r="125" spans="1:7" s="2513" customFormat="1">
      <c r="A125" s="2524" t="s">
        <v>417</v>
      </c>
      <c r="B125" s="2524" t="s">
        <v>2927</v>
      </c>
      <c r="C125" s="2524">
        <v>12860</v>
      </c>
      <c r="D125" s="2524">
        <v>12790</v>
      </c>
      <c r="E125" s="2524">
        <v>15370</v>
      </c>
      <c r="F125" s="2524">
        <v>2280</v>
      </c>
      <c r="G125" s="2537">
        <v>8450</v>
      </c>
    </row>
    <row r="126" spans="1:7" s="2513" customFormat="1" ht="12.5" thickBot="1">
      <c r="A126" s="2538" t="s">
        <v>417</v>
      </c>
      <c r="B126" s="2531" t="s">
        <v>2948</v>
      </c>
      <c r="C126" s="2531">
        <v>12960</v>
      </c>
      <c r="D126" s="2531">
        <v>12890</v>
      </c>
      <c r="E126" s="2531">
        <v>15530</v>
      </c>
      <c r="F126" s="2531">
        <v>2910</v>
      </c>
      <c r="G126" s="2539">
        <v>8520</v>
      </c>
    </row>
    <row r="127" spans="1:7" s="2513" customFormat="1">
      <c r="A127" s="2529" t="s">
        <v>32</v>
      </c>
      <c r="B127" s="2520" t="s">
        <v>419</v>
      </c>
      <c r="C127" s="2524">
        <v>12280</v>
      </c>
      <c r="D127" s="2524">
        <v>12250</v>
      </c>
      <c r="E127" s="2524">
        <v>15130</v>
      </c>
      <c r="F127" s="2524">
        <v>2710</v>
      </c>
      <c r="G127" s="2524">
        <v>7870</v>
      </c>
    </row>
    <row r="128" spans="1:7" s="2513" customFormat="1">
      <c r="A128" s="2524" t="s">
        <v>32</v>
      </c>
      <c r="B128" s="2524" t="s">
        <v>164</v>
      </c>
      <c r="C128" s="2524">
        <v>13180</v>
      </c>
      <c r="D128" s="2524">
        <v>13150</v>
      </c>
      <c r="E128" s="2524">
        <v>16190</v>
      </c>
      <c r="F128" s="2524">
        <v>2820</v>
      </c>
      <c r="G128" s="2524">
        <v>8460</v>
      </c>
    </row>
    <row r="129" spans="1:7" s="2513" customFormat="1">
      <c r="A129" s="2524" t="s">
        <v>32</v>
      </c>
      <c r="B129" s="2524" t="s">
        <v>177</v>
      </c>
      <c r="C129" s="2524">
        <v>10950</v>
      </c>
      <c r="D129" s="2524">
        <v>10920</v>
      </c>
      <c r="E129" s="2524">
        <v>13820</v>
      </c>
      <c r="F129" s="2524">
        <v>2500</v>
      </c>
      <c r="G129" s="2524">
        <v>7020</v>
      </c>
    </row>
    <row r="130" spans="1:7" s="2513" customFormat="1">
      <c r="A130" s="2524" t="s">
        <v>32</v>
      </c>
      <c r="B130" s="2524" t="s">
        <v>190</v>
      </c>
      <c r="C130" s="2524">
        <v>10910</v>
      </c>
      <c r="D130" s="2524">
        <v>10860</v>
      </c>
      <c r="E130" s="2524">
        <v>13730</v>
      </c>
      <c r="F130" s="2524">
        <v>2760</v>
      </c>
      <c r="G130" s="2524">
        <v>6990</v>
      </c>
    </row>
    <row r="131" spans="1:7" s="2513" customFormat="1">
      <c r="A131" s="2524" t="s">
        <v>32</v>
      </c>
      <c r="B131" s="2524" t="s">
        <v>201</v>
      </c>
      <c r="C131" s="2524">
        <v>12910</v>
      </c>
      <c r="D131" s="2524">
        <v>12870</v>
      </c>
      <c r="E131" s="2524">
        <v>15720</v>
      </c>
      <c r="F131" s="2524">
        <v>2750</v>
      </c>
      <c r="G131" s="2524">
        <v>8280</v>
      </c>
    </row>
    <row r="132" spans="1:7" s="2513" customFormat="1">
      <c r="A132" s="2524" t="s">
        <v>32</v>
      </c>
      <c r="B132" s="2524" t="s">
        <v>210</v>
      </c>
      <c r="C132" s="2524">
        <v>11910</v>
      </c>
      <c r="D132" s="2524">
        <v>11860</v>
      </c>
      <c r="E132" s="2524">
        <v>14730</v>
      </c>
      <c r="F132" s="2524">
        <v>2360</v>
      </c>
      <c r="G132" s="2524">
        <v>7630</v>
      </c>
    </row>
    <row r="133" spans="1:7" s="2513" customFormat="1">
      <c r="A133" s="2524" t="s">
        <v>32</v>
      </c>
      <c r="B133" s="2524" t="s">
        <v>220</v>
      </c>
      <c r="C133" s="2524">
        <v>12270</v>
      </c>
      <c r="D133" s="2524">
        <v>12210</v>
      </c>
      <c r="E133" s="2524">
        <v>15010</v>
      </c>
      <c r="F133" s="2524">
        <v>2580</v>
      </c>
      <c r="G133" s="2524">
        <v>7860</v>
      </c>
    </row>
    <row r="134" spans="1:7" s="2513" customFormat="1">
      <c r="A134" s="2524" t="s">
        <v>32</v>
      </c>
      <c r="B134" s="2524" t="s">
        <v>230</v>
      </c>
      <c r="C134" s="2524">
        <v>10800</v>
      </c>
      <c r="D134" s="2524">
        <v>10780</v>
      </c>
      <c r="E134" s="2524">
        <v>13640</v>
      </c>
      <c r="F134" s="2524">
        <v>2110</v>
      </c>
      <c r="G134" s="2524">
        <v>6930</v>
      </c>
    </row>
    <row r="135" spans="1:7" s="2513" customFormat="1">
      <c r="A135" s="2524" t="s">
        <v>32</v>
      </c>
      <c r="B135" s="2524" t="s">
        <v>240</v>
      </c>
      <c r="C135" s="2524">
        <v>10430</v>
      </c>
      <c r="D135" s="2524">
        <v>10390</v>
      </c>
      <c r="E135" s="2524">
        <v>13140</v>
      </c>
      <c r="F135" s="2524">
        <v>2240</v>
      </c>
      <c r="G135" s="2524">
        <v>6680</v>
      </c>
    </row>
    <row r="136" spans="1:7" s="2513" customFormat="1">
      <c r="A136" s="2524" t="s">
        <v>32</v>
      </c>
      <c r="B136" s="2524" t="s">
        <v>250</v>
      </c>
      <c r="C136" s="2524">
        <v>11930</v>
      </c>
      <c r="D136" s="2524">
        <v>11880</v>
      </c>
      <c r="E136" s="2524">
        <v>14770</v>
      </c>
      <c r="F136" s="2524">
        <v>1970</v>
      </c>
      <c r="G136" s="2524">
        <v>7640</v>
      </c>
    </row>
    <row r="137" spans="1:7" s="2513" customFormat="1">
      <c r="A137" s="2524" t="s">
        <v>32</v>
      </c>
      <c r="B137" s="2524" t="s">
        <v>259</v>
      </c>
      <c r="C137" s="2524">
        <v>10470</v>
      </c>
      <c r="D137" s="2524">
        <v>10430</v>
      </c>
      <c r="E137" s="2524">
        <v>13190</v>
      </c>
      <c r="F137" s="2524">
        <v>1990</v>
      </c>
      <c r="G137" s="2524">
        <v>6710</v>
      </c>
    </row>
    <row r="138" spans="1:7" s="2513" customFormat="1">
      <c r="A138" s="2524" t="s">
        <v>32</v>
      </c>
      <c r="B138" s="2524" t="s">
        <v>267</v>
      </c>
      <c r="C138" s="2524">
        <v>10410</v>
      </c>
      <c r="D138" s="2524">
        <v>10380</v>
      </c>
      <c r="E138" s="2524">
        <v>13130</v>
      </c>
      <c r="F138" s="2524">
        <v>2030</v>
      </c>
      <c r="G138" s="2524">
        <v>6680</v>
      </c>
    </row>
    <row r="139" spans="1:7" s="2513" customFormat="1">
      <c r="A139" s="2524" t="s">
        <v>32</v>
      </c>
      <c r="B139" s="2524" t="s">
        <v>275</v>
      </c>
      <c r="C139" s="2524">
        <v>9460</v>
      </c>
      <c r="D139" s="2524">
        <v>9410</v>
      </c>
      <c r="E139" s="2524">
        <v>12050</v>
      </c>
      <c r="F139" s="2524">
        <v>2140</v>
      </c>
      <c r="G139" s="2524">
        <v>6050</v>
      </c>
    </row>
    <row r="140" spans="1:7" s="2513" customFormat="1">
      <c r="A140" s="2524" t="s">
        <v>32</v>
      </c>
      <c r="B140" s="2524" t="s">
        <v>285</v>
      </c>
      <c r="C140" s="2524">
        <v>11030</v>
      </c>
      <c r="D140" s="2524">
        <v>10980</v>
      </c>
      <c r="E140" s="2524">
        <v>13880</v>
      </c>
      <c r="F140" s="2524">
        <v>2210</v>
      </c>
      <c r="G140" s="2524">
        <v>7060</v>
      </c>
    </row>
    <row r="141" spans="1:7" s="2513" customFormat="1">
      <c r="A141" s="2524" t="s">
        <v>32</v>
      </c>
      <c r="B141" s="2524" t="s">
        <v>295</v>
      </c>
      <c r="C141" s="2524">
        <v>11200</v>
      </c>
      <c r="D141" s="2524">
        <v>11150</v>
      </c>
      <c r="E141" s="2524">
        <v>14100</v>
      </c>
      <c r="F141" s="2524">
        <v>2470</v>
      </c>
      <c r="G141" s="2524">
        <v>7170</v>
      </c>
    </row>
    <row r="142" spans="1:7" s="2513" customFormat="1">
      <c r="A142" s="2524" t="s">
        <v>32</v>
      </c>
      <c r="B142" s="2524" t="s">
        <v>304</v>
      </c>
      <c r="C142" s="2524">
        <v>10780</v>
      </c>
      <c r="D142" s="2524">
        <v>10730</v>
      </c>
      <c r="E142" s="2524">
        <v>13540</v>
      </c>
      <c r="F142" s="2524">
        <v>2280</v>
      </c>
      <c r="G142" s="2524">
        <v>6900</v>
      </c>
    </row>
    <row r="143" spans="1:7" s="2513" customFormat="1">
      <c r="A143" s="2524" t="s">
        <v>32</v>
      </c>
      <c r="B143" s="2524" t="s">
        <v>313</v>
      </c>
      <c r="C143" s="2524">
        <v>11550</v>
      </c>
      <c r="D143" s="2524">
        <v>11490</v>
      </c>
      <c r="E143" s="2524">
        <v>14480</v>
      </c>
      <c r="F143" s="2524">
        <v>2070</v>
      </c>
      <c r="G143" s="2524">
        <v>7390</v>
      </c>
    </row>
    <row r="144" spans="1:7" s="2513" customFormat="1">
      <c r="A144" s="2524" t="s">
        <v>32</v>
      </c>
      <c r="B144" s="2524" t="s">
        <v>323</v>
      </c>
      <c r="C144" s="2524">
        <v>10720</v>
      </c>
      <c r="D144" s="2524">
        <v>10680</v>
      </c>
      <c r="E144" s="2524">
        <v>13480</v>
      </c>
      <c r="F144" s="2524">
        <v>2440</v>
      </c>
      <c r="G144" s="2524">
        <v>6870</v>
      </c>
    </row>
    <row r="145" spans="1:7" s="2513" customFormat="1">
      <c r="A145" s="2524" t="s">
        <v>32</v>
      </c>
      <c r="B145" s="2524" t="s">
        <v>332</v>
      </c>
      <c r="C145" s="2524">
        <v>10340</v>
      </c>
      <c r="D145" s="2524">
        <v>10290</v>
      </c>
      <c r="E145" s="2524">
        <v>12880</v>
      </c>
      <c r="F145" s="2524">
        <v>2650</v>
      </c>
      <c r="G145" s="2524">
        <v>6620</v>
      </c>
    </row>
    <row r="146" spans="1:7" s="2513" customFormat="1">
      <c r="A146" s="2524" t="s">
        <v>32</v>
      </c>
      <c r="B146" s="2524" t="s">
        <v>339</v>
      </c>
      <c r="C146" s="2524">
        <v>11890</v>
      </c>
      <c r="D146" s="2524">
        <v>11830</v>
      </c>
      <c r="E146" s="2524">
        <v>14670</v>
      </c>
      <c r="F146" s="2524"/>
      <c r="G146" s="2524">
        <v>7610</v>
      </c>
    </row>
    <row r="147" spans="1:7" s="2513" customFormat="1">
      <c r="A147" s="2524" t="s">
        <v>32</v>
      </c>
      <c r="B147" s="2524" t="s">
        <v>346</v>
      </c>
      <c r="C147" s="2524">
        <v>12650</v>
      </c>
      <c r="D147" s="2524">
        <v>12600</v>
      </c>
      <c r="E147" s="2524">
        <v>15440</v>
      </c>
      <c r="F147" s="2524"/>
      <c r="G147" s="2524">
        <v>8110</v>
      </c>
    </row>
    <row r="148" spans="1:7" s="2513" customFormat="1">
      <c r="A148" s="2524" t="s">
        <v>32</v>
      </c>
      <c r="B148" s="2524" t="s">
        <v>2952</v>
      </c>
      <c r="C148" s="2524">
        <v>10370</v>
      </c>
      <c r="D148" s="2524">
        <v>10310</v>
      </c>
      <c r="E148" s="2524">
        <v>12970</v>
      </c>
      <c r="F148" s="2524"/>
      <c r="G148" s="2524">
        <v>6630</v>
      </c>
    </row>
    <row r="149" spans="1:7" s="2513" customFormat="1">
      <c r="A149" s="2524" t="s">
        <v>32</v>
      </c>
      <c r="B149" s="2524" t="s">
        <v>367</v>
      </c>
      <c r="C149" s="2524">
        <v>11600</v>
      </c>
      <c r="D149" s="2524">
        <v>11560</v>
      </c>
      <c r="E149" s="2524">
        <v>14540</v>
      </c>
      <c r="F149" s="2524">
        <v>2390</v>
      </c>
      <c r="G149" s="2524">
        <v>7430</v>
      </c>
    </row>
    <row r="150" spans="1:7" s="2513" customFormat="1">
      <c r="A150" s="2524" t="s">
        <v>32</v>
      </c>
      <c r="B150" s="2524" t="s">
        <v>372</v>
      </c>
      <c r="C150" s="2524">
        <v>9950</v>
      </c>
      <c r="D150" s="2524">
        <v>9890</v>
      </c>
      <c r="E150" s="2524">
        <v>12590</v>
      </c>
      <c r="F150" s="2524">
        <v>1970</v>
      </c>
      <c r="G150" s="2524">
        <v>6360</v>
      </c>
    </row>
    <row r="151" spans="1:7" s="2513" customFormat="1">
      <c r="A151" s="2524" t="s">
        <v>32</v>
      </c>
      <c r="B151" s="2524" t="s">
        <v>376</v>
      </c>
      <c r="C151" s="2524">
        <v>10700</v>
      </c>
      <c r="D151" s="2524">
        <v>10650</v>
      </c>
      <c r="E151" s="2524">
        <v>13420</v>
      </c>
      <c r="F151" s="2524">
        <v>2020</v>
      </c>
      <c r="G151" s="2524">
        <v>6850</v>
      </c>
    </row>
    <row r="152" spans="1:7" s="2513" customFormat="1">
      <c r="A152" s="2524" t="s">
        <v>32</v>
      </c>
      <c r="B152" s="2524" t="s">
        <v>381</v>
      </c>
      <c r="C152" s="2524">
        <v>10310</v>
      </c>
      <c r="D152" s="2524">
        <v>10260</v>
      </c>
      <c r="E152" s="2524">
        <v>12820</v>
      </c>
      <c r="F152" s="2524">
        <v>1980</v>
      </c>
      <c r="G152" s="2524">
        <v>6600</v>
      </c>
    </row>
    <row r="153" spans="1:7" s="2513" customFormat="1">
      <c r="A153" s="2524" t="s">
        <v>32</v>
      </c>
      <c r="B153" s="2524" t="s">
        <v>2930</v>
      </c>
      <c r="C153" s="2524">
        <v>10880</v>
      </c>
      <c r="D153" s="2524">
        <v>10820</v>
      </c>
      <c r="E153" s="2524">
        <v>13660</v>
      </c>
      <c r="F153" s="2524">
        <v>2260</v>
      </c>
      <c r="G153" s="2524">
        <v>6970</v>
      </c>
    </row>
    <row r="154" spans="1:7" s="2513" customFormat="1">
      <c r="A154" s="2524" t="s">
        <v>32</v>
      </c>
      <c r="B154" s="2524" t="s">
        <v>385</v>
      </c>
      <c r="C154" s="2524">
        <v>11220</v>
      </c>
      <c r="D154" s="2524">
        <v>11160</v>
      </c>
      <c r="E154" s="2524">
        <v>14130</v>
      </c>
      <c r="F154" s="2524">
        <v>2230</v>
      </c>
      <c r="G154" s="2524">
        <v>7180</v>
      </c>
    </row>
    <row r="155" spans="1:7" s="2513" customFormat="1">
      <c r="A155" s="2524" t="s">
        <v>32</v>
      </c>
      <c r="B155" s="2524" t="s">
        <v>2931</v>
      </c>
      <c r="C155" s="2524">
        <v>10430</v>
      </c>
      <c r="D155" s="2524">
        <v>10380</v>
      </c>
      <c r="E155" s="2524">
        <v>13140</v>
      </c>
      <c r="F155" s="2524">
        <v>2080</v>
      </c>
      <c r="G155" s="2524">
        <v>6650</v>
      </c>
    </row>
    <row r="156" spans="1:7" s="2513" customFormat="1">
      <c r="A156" s="2524" t="s">
        <v>32</v>
      </c>
      <c r="B156" s="2524" t="s">
        <v>390</v>
      </c>
      <c r="C156" s="2524">
        <v>10440</v>
      </c>
      <c r="D156" s="2524">
        <v>10400</v>
      </c>
      <c r="E156" s="2524">
        <v>13150</v>
      </c>
      <c r="F156" s="2524">
        <v>2490</v>
      </c>
      <c r="G156" s="2524">
        <v>6690</v>
      </c>
    </row>
    <row r="157" spans="1:7" s="2513" customFormat="1">
      <c r="A157" s="2524" t="s">
        <v>32</v>
      </c>
      <c r="B157" s="2524" t="s">
        <v>394</v>
      </c>
      <c r="C157" s="2524">
        <v>10970</v>
      </c>
      <c r="D157" s="2524">
        <v>10920</v>
      </c>
      <c r="E157" s="2524">
        <v>13840</v>
      </c>
      <c r="F157" s="2524">
        <v>2420</v>
      </c>
      <c r="G157" s="2524">
        <v>7020</v>
      </c>
    </row>
    <row r="158" spans="1:7" s="2513" customFormat="1">
      <c r="A158" s="2524" t="s">
        <v>32</v>
      </c>
      <c r="B158" s="2524" t="s">
        <v>396</v>
      </c>
      <c r="C158" s="2524">
        <v>9590</v>
      </c>
      <c r="D158" s="2524">
        <v>9540</v>
      </c>
      <c r="E158" s="2524">
        <v>12210</v>
      </c>
      <c r="F158" s="2524">
        <v>2100</v>
      </c>
      <c r="G158" s="2524">
        <v>6130</v>
      </c>
    </row>
    <row r="159" spans="1:7" s="2513" customFormat="1">
      <c r="A159" s="2524" t="s">
        <v>32</v>
      </c>
      <c r="B159" s="2524" t="s">
        <v>398</v>
      </c>
      <c r="C159" s="2524">
        <v>11190</v>
      </c>
      <c r="D159" s="2524">
        <v>11140</v>
      </c>
      <c r="E159" s="2524">
        <v>14090</v>
      </c>
      <c r="F159" s="2524">
        <v>2470</v>
      </c>
      <c r="G159" s="2524">
        <v>7170</v>
      </c>
    </row>
    <row r="160" spans="1:7" s="2513" customFormat="1">
      <c r="A160" s="2524" t="s">
        <v>32</v>
      </c>
      <c r="B160" s="2524" t="s">
        <v>2949</v>
      </c>
      <c r="C160" s="2524">
        <v>11180</v>
      </c>
      <c r="D160" s="2524">
        <v>11140</v>
      </c>
      <c r="E160" s="2524">
        <v>14050</v>
      </c>
      <c r="F160" s="2524">
        <v>2270</v>
      </c>
      <c r="G160" s="2524">
        <v>7170</v>
      </c>
    </row>
    <row r="161" spans="1:7" s="2513" customFormat="1">
      <c r="A161" s="2524" t="s">
        <v>32</v>
      </c>
      <c r="B161" s="2524" t="s">
        <v>2933</v>
      </c>
      <c r="C161" s="2524">
        <v>11160</v>
      </c>
      <c r="D161" s="2524">
        <v>11120</v>
      </c>
      <c r="E161" s="2524">
        <v>14020</v>
      </c>
      <c r="F161" s="2524">
        <v>2150</v>
      </c>
      <c r="G161" s="2524">
        <v>7160</v>
      </c>
    </row>
    <row r="162" spans="1:7" s="2513" customFormat="1">
      <c r="A162" s="2524" t="s">
        <v>32</v>
      </c>
      <c r="B162" s="2524" t="s">
        <v>2934</v>
      </c>
      <c r="C162" s="2524">
        <v>9620</v>
      </c>
      <c r="D162" s="2524">
        <v>9570</v>
      </c>
      <c r="E162" s="2524">
        <v>12320</v>
      </c>
      <c r="F162" s="2524">
        <v>2010</v>
      </c>
      <c r="G162" s="2524">
        <v>6160</v>
      </c>
    </row>
    <row r="163" spans="1:7" s="2513" customFormat="1">
      <c r="A163" s="2524" t="s">
        <v>32</v>
      </c>
      <c r="B163" s="2524" t="s">
        <v>2935</v>
      </c>
      <c r="C163" s="2524">
        <v>9320</v>
      </c>
      <c r="D163" s="2524">
        <v>9270</v>
      </c>
      <c r="E163" s="2524">
        <v>11790</v>
      </c>
      <c r="F163" s="2524">
        <v>1920</v>
      </c>
      <c r="G163" s="2524">
        <v>5960</v>
      </c>
    </row>
    <row r="164" spans="1:7" s="2513" customFormat="1">
      <c r="A164" s="2524" t="s">
        <v>32</v>
      </c>
      <c r="B164" s="2524" t="s">
        <v>2950</v>
      </c>
      <c r="C164" s="2524"/>
      <c r="D164" s="2524"/>
      <c r="E164" s="2524"/>
      <c r="F164" s="2524">
        <v>1980</v>
      </c>
      <c r="G164" s="2524"/>
    </row>
    <row r="165" spans="1:7" s="2513" customFormat="1">
      <c r="A165" s="2524" t="s">
        <v>32</v>
      </c>
      <c r="B165" s="2524" t="s">
        <v>2951</v>
      </c>
      <c r="C165" s="2524">
        <v>11060</v>
      </c>
      <c r="D165" s="2524">
        <v>11030</v>
      </c>
      <c r="E165" s="2524">
        <v>13850</v>
      </c>
      <c r="F165" s="2524">
        <v>2170</v>
      </c>
      <c r="G165" s="2524">
        <v>7090</v>
      </c>
    </row>
    <row r="166" spans="1:7" s="2513" customFormat="1">
      <c r="A166" s="2524" t="s">
        <v>32</v>
      </c>
      <c r="B166" s="2524" t="s">
        <v>2936</v>
      </c>
      <c r="C166" s="2524">
        <v>11050</v>
      </c>
      <c r="D166" s="2524">
        <v>11010</v>
      </c>
      <c r="E166" s="2524">
        <v>13920</v>
      </c>
      <c r="F166" s="2524">
        <v>2140</v>
      </c>
      <c r="G166" s="2524">
        <v>7080</v>
      </c>
    </row>
    <row r="167" spans="1:7" s="2513" customFormat="1">
      <c r="A167" s="2524" t="s">
        <v>32</v>
      </c>
      <c r="B167" s="2524" t="s">
        <v>2937</v>
      </c>
      <c r="C167" s="2524">
        <v>10930</v>
      </c>
      <c r="D167" s="2524">
        <v>10890</v>
      </c>
      <c r="E167" s="2524">
        <v>13790</v>
      </c>
      <c r="F167" s="2524">
        <v>2010</v>
      </c>
      <c r="G167" s="2524">
        <v>7000</v>
      </c>
    </row>
    <row r="168" spans="1:7" s="2513" customFormat="1">
      <c r="A168" s="2524" t="s">
        <v>32</v>
      </c>
      <c r="B168" s="2524" t="s">
        <v>2938</v>
      </c>
      <c r="C168" s="2524">
        <v>9420</v>
      </c>
      <c r="D168" s="2524">
        <v>9380</v>
      </c>
      <c r="E168" s="2524">
        <v>11970</v>
      </c>
      <c r="F168" s="2524"/>
      <c r="G168" s="2524">
        <v>6040</v>
      </c>
    </row>
    <row r="169" spans="1:7" s="2513" customFormat="1">
      <c r="A169" s="2524" t="s">
        <v>32</v>
      </c>
      <c r="B169" s="2524" t="s">
        <v>2953</v>
      </c>
      <c r="C169" s="2524"/>
      <c r="D169" s="2524"/>
      <c r="E169" s="2524"/>
      <c r="F169" s="2524">
        <v>2880</v>
      </c>
      <c r="G169" s="2524"/>
    </row>
    <row r="170" spans="1:7" s="2513" customFormat="1">
      <c r="A170" s="2524" t="s">
        <v>32</v>
      </c>
      <c r="B170" s="2524" t="s">
        <v>2954</v>
      </c>
      <c r="C170" s="2524"/>
      <c r="D170" s="2524"/>
      <c r="E170" s="2524"/>
      <c r="F170" s="2524">
        <v>2880</v>
      </c>
      <c r="G170" s="2524"/>
    </row>
    <row r="171" spans="1:7" s="2513" customFormat="1">
      <c r="A171" s="2524" t="s">
        <v>32</v>
      </c>
      <c r="B171" s="2524" t="s">
        <v>2955</v>
      </c>
      <c r="C171" s="2524"/>
      <c r="D171" s="2524"/>
      <c r="E171" s="2524"/>
      <c r="F171" s="2524">
        <v>2880</v>
      </c>
      <c r="G171" s="2524"/>
    </row>
    <row r="172" spans="1:7" s="2513" customFormat="1">
      <c r="A172" s="2524" t="s">
        <v>32</v>
      </c>
      <c r="B172" s="2524" t="s">
        <v>2957</v>
      </c>
      <c r="C172" s="2524"/>
      <c r="D172" s="2524"/>
      <c r="E172" s="2524"/>
      <c r="F172" s="2524">
        <v>2880</v>
      </c>
      <c r="G172" s="2524"/>
    </row>
    <row r="173" spans="1:7" s="2513" customFormat="1">
      <c r="A173" s="2524" t="s">
        <v>32</v>
      </c>
      <c r="B173" s="2524" t="s">
        <v>2956</v>
      </c>
      <c r="C173" s="2524"/>
      <c r="D173" s="2524"/>
      <c r="E173" s="2524"/>
      <c r="F173" s="2524">
        <v>2150</v>
      </c>
      <c r="G173" s="2524"/>
    </row>
    <row r="174" spans="1:7" s="2513" customFormat="1">
      <c r="A174" s="2524" t="s">
        <v>32</v>
      </c>
      <c r="B174" s="2524" t="s">
        <v>2965</v>
      </c>
      <c r="C174" s="2524"/>
      <c r="D174" s="2524"/>
      <c r="E174" s="2524"/>
      <c r="F174" s="2524">
        <v>2030</v>
      </c>
      <c r="G174" s="2524"/>
    </row>
    <row r="175" spans="1:7" s="2513" customFormat="1">
      <c r="A175" s="2524" t="s">
        <v>32</v>
      </c>
      <c r="B175" s="2524" t="s">
        <v>2963</v>
      </c>
      <c r="C175" s="2524"/>
      <c r="D175" s="2524"/>
      <c r="E175" s="2524"/>
      <c r="F175" s="2524">
        <v>2780</v>
      </c>
      <c r="G175" s="2524"/>
    </row>
    <row r="176" spans="1:7" s="2513" customFormat="1">
      <c r="A176" s="2524" t="s">
        <v>32</v>
      </c>
      <c r="B176" s="2524" t="s">
        <v>2958</v>
      </c>
      <c r="C176" s="2524"/>
      <c r="D176" s="2524"/>
      <c r="E176" s="2524"/>
      <c r="F176" s="2524">
        <v>2780</v>
      </c>
      <c r="G176" s="2524"/>
    </row>
    <row r="177" spans="1:7" s="2513" customFormat="1">
      <c r="A177" s="2524" t="s">
        <v>32</v>
      </c>
      <c r="B177" s="2524" t="s">
        <v>2959</v>
      </c>
      <c r="C177" s="2524"/>
      <c r="D177" s="2524"/>
      <c r="E177" s="2524"/>
      <c r="F177" s="2524">
        <v>2780</v>
      </c>
      <c r="G177" s="2524"/>
    </row>
    <row r="178" spans="1:7" s="2513" customFormat="1">
      <c r="A178" s="2524" t="s">
        <v>32</v>
      </c>
      <c r="B178" s="2524" t="s">
        <v>2960</v>
      </c>
      <c r="C178" s="2524"/>
      <c r="D178" s="2524"/>
      <c r="E178" s="2524"/>
      <c r="F178" s="2524">
        <v>2060</v>
      </c>
      <c r="G178" s="2524"/>
    </row>
    <row r="179" spans="1:7" s="2513" customFormat="1">
      <c r="A179" s="2524" t="s">
        <v>32</v>
      </c>
      <c r="B179" s="2524" t="s">
        <v>2961</v>
      </c>
      <c r="C179" s="2524"/>
      <c r="D179" s="2524"/>
      <c r="E179" s="2524"/>
      <c r="F179" s="2524">
        <v>2120</v>
      </c>
      <c r="G179" s="2524"/>
    </row>
    <row r="180" spans="1:7" s="2513" customFormat="1">
      <c r="A180" s="2524" t="s">
        <v>32</v>
      </c>
      <c r="B180" s="2524" t="s">
        <v>2962</v>
      </c>
      <c r="C180" s="2524"/>
      <c r="D180" s="2524"/>
      <c r="E180" s="2524"/>
      <c r="F180" s="2524">
        <v>2340</v>
      </c>
      <c r="G180" s="2524"/>
    </row>
    <row r="181" spans="1:7" s="2513" customFormat="1">
      <c r="A181" s="2524" t="s">
        <v>32</v>
      </c>
      <c r="B181" s="2524" t="s">
        <v>2964</v>
      </c>
      <c r="C181" s="2524"/>
      <c r="D181" s="2524"/>
      <c r="E181" s="2524"/>
      <c r="F181" s="2524">
        <v>2340</v>
      </c>
      <c r="G181" s="2524"/>
    </row>
    <row r="182" spans="1:7" s="2513" customFormat="1">
      <c r="A182" s="2524" t="s">
        <v>32</v>
      </c>
      <c r="B182" s="2524" t="s">
        <v>2966</v>
      </c>
      <c r="C182" s="2524"/>
      <c r="D182" s="2524"/>
      <c r="E182" s="2524"/>
      <c r="F182" s="2524">
        <v>2340</v>
      </c>
      <c r="G182" s="2524"/>
    </row>
    <row r="183" spans="1:7" s="2513" customFormat="1">
      <c r="A183" s="2524" t="s">
        <v>32</v>
      </c>
      <c r="B183" s="2524" t="s">
        <v>2967</v>
      </c>
      <c r="C183" s="2524"/>
      <c r="D183" s="2524"/>
      <c r="E183" s="2524"/>
      <c r="F183" s="2524">
        <v>2340</v>
      </c>
      <c r="G183" s="2524"/>
    </row>
    <row r="184" spans="1:7" s="2513" customFormat="1">
      <c r="A184" s="2524" t="s">
        <v>32</v>
      </c>
      <c r="B184" s="2524" t="s">
        <v>2968</v>
      </c>
      <c r="C184" s="2524"/>
      <c r="D184" s="2524"/>
      <c r="E184" s="2524"/>
      <c r="F184" s="2524">
        <v>2340</v>
      </c>
      <c r="G184" s="2524"/>
    </row>
    <row r="185" spans="1:7" s="2513" customFormat="1">
      <c r="A185" s="2524" t="s">
        <v>32</v>
      </c>
      <c r="B185" s="2524" t="s">
        <v>2969</v>
      </c>
      <c r="C185" s="2524"/>
      <c r="D185" s="2524"/>
      <c r="E185" s="2524"/>
      <c r="F185" s="2524">
        <v>2530</v>
      </c>
      <c r="G185" s="2524"/>
    </row>
    <row r="186" spans="1:7" s="2513" customFormat="1">
      <c r="A186" s="2524" t="s">
        <v>32</v>
      </c>
      <c r="B186" s="2524" t="s">
        <v>2970</v>
      </c>
      <c r="C186" s="2524"/>
      <c r="D186" s="2524"/>
      <c r="E186" s="2524"/>
      <c r="F186" s="2524">
        <v>2550</v>
      </c>
      <c r="G186" s="2524"/>
    </row>
    <row r="187" spans="1:7" s="2513" customFormat="1">
      <c r="A187" s="2524" t="s">
        <v>32</v>
      </c>
      <c r="B187" s="2524" t="s">
        <v>2971</v>
      </c>
      <c r="C187" s="2524"/>
      <c r="D187" s="2524"/>
      <c r="E187" s="2524"/>
      <c r="F187" s="2524">
        <v>2070</v>
      </c>
      <c r="G187" s="2524"/>
    </row>
    <row r="188" spans="1:7" s="2513" customFormat="1">
      <c r="A188" s="2524" t="s">
        <v>32</v>
      </c>
      <c r="B188" s="2524" t="s">
        <v>2972</v>
      </c>
      <c r="C188" s="2524"/>
      <c r="D188" s="2524"/>
      <c r="E188" s="2524"/>
      <c r="F188" s="2524">
        <v>2340</v>
      </c>
      <c r="G188" s="2524"/>
    </row>
    <row r="189" spans="1:7" s="2513" customFormat="1" ht="12.5" thickBot="1">
      <c r="A189" s="2532" t="s">
        <v>32</v>
      </c>
      <c r="B189" s="2535" t="s">
        <v>2973</v>
      </c>
      <c r="C189" s="2535"/>
      <c r="D189" s="2535"/>
      <c r="E189" s="2535"/>
      <c r="F189" s="2535">
        <v>2050</v>
      </c>
      <c r="G189" s="2535"/>
    </row>
    <row r="190" spans="1:7" s="2513" customFormat="1">
      <c r="A190" s="2529" t="s">
        <v>420</v>
      </c>
      <c r="B190" s="2520" t="s">
        <v>421</v>
      </c>
      <c r="C190" s="2520">
        <v>8830</v>
      </c>
      <c r="D190" s="2520">
        <v>8790</v>
      </c>
      <c r="E190" s="2520">
        <v>11630</v>
      </c>
      <c r="F190" s="2520">
        <v>1790</v>
      </c>
      <c r="G190" s="2536">
        <v>5550</v>
      </c>
    </row>
    <row r="191" spans="1:7" s="2513" customFormat="1">
      <c r="A191" s="2524" t="s">
        <v>420</v>
      </c>
      <c r="B191" s="2524" t="s">
        <v>165</v>
      </c>
      <c r="C191" s="2524">
        <v>9780</v>
      </c>
      <c r="D191" s="2524">
        <v>9710</v>
      </c>
      <c r="E191" s="2524">
        <v>12550</v>
      </c>
      <c r="F191" s="2524">
        <v>1980</v>
      </c>
      <c r="G191" s="2537">
        <v>6130</v>
      </c>
    </row>
    <row r="192" spans="1:7" s="2513" customFormat="1">
      <c r="A192" s="2524" t="s">
        <v>420</v>
      </c>
      <c r="B192" s="2524" t="s">
        <v>178</v>
      </c>
      <c r="C192" s="2524">
        <v>8180</v>
      </c>
      <c r="D192" s="2524">
        <v>8140</v>
      </c>
      <c r="E192" s="2524">
        <v>10870</v>
      </c>
      <c r="F192" s="2524">
        <v>1690</v>
      </c>
      <c r="G192" s="2537">
        <v>5140</v>
      </c>
    </row>
    <row r="193" spans="1:7" s="2513" customFormat="1">
      <c r="A193" s="2524" t="s">
        <v>420</v>
      </c>
      <c r="B193" s="2524" t="s">
        <v>191</v>
      </c>
      <c r="C193" s="2524">
        <v>8440</v>
      </c>
      <c r="D193" s="2524">
        <v>8390</v>
      </c>
      <c r="E193" s="2524">
        <v>11210</v>
      </c>
      <c r="F193" s="2524">
        <v>1600</v>
      </c>
      <c r="G193" s="2537">
        <v>5300</v>
      </c>
    </row>
    <row r="194" spans="1:7" s="2513" customFormat="1">
      <c r="A194" s="2524" t="s">
        <v>420</v>
      </c>
      <c r="B194" s="2524" t="s">
        <v>202</v>
      </c>
      <c r="C194" s="2524">
        <v>8780</v>
      </c>
      <c r="D194" s="2524">
        <v>8730</v>
      </c>
      <c r="E194" s="2524">
        <v>11550</v>
      </c>
      <c r="F194" s="2524">
        <v>1660</v>
      </c>
      <c r="G194" s="2537">
        <v>5520</v>
      </c>
    </row>
    <row r="195" spans="1:7" s="2513" customFormat="1">
      <c r="A195" s="2524" t="s">
        <v>420</v>
      </c>
      <c r="B195" s="2524" t="s">
        <v>211</v>
      </c>
      <c r="C195" s="2524">
        <v>8720</v>
      </c>
      <c r="D195" s="2524">
        <v>8670</v>
      </c>
      <c r="E195" s="2524">
        <v>11450</v>
      </c>
      <c r="F195" s="2524">
        <v>1720</v>
      </c>
      <c r="G195" s="2537">
        <v>5480</v>
      </c>
    </row>
    <row r="196" spans="1:7" s="2513" customFormat="1">
      <c r="A196" s="2524" t="s">
        <v>420</v>
      </c>
      <c r="B196" s="2524" t="s">
        <v>221</v>
      </c>
      <c r="C196" s="2524">
        <v>8460</v>
      </c>
      <c r="D196" s="2524">
        <v>8410</v>
      </c>
      <c r="E196" s="2524">
        <v>11230</v>
      </c>
      <c r="F196" s="2524">
        <v>1730</v>
      </c>
      <c r="G196" s="2537">
        <v>5310</v>
      </c>
    </row>
    <row r="197" spans="1:7" s="2513" customFormat="1">
      <c r="A197" s="2524" t="s">
        <v>420</v>
      </c>
      <c r="B197" s="2524" t="s">
        <v>231</v>
      </c>
      <c r="C197" s="2524">
        <v>8790</v>
      </c>
      <c r="D197" s="2524">
        <v>8730</v>
      </c>
      <c r="E197" s="2524">
        <v>11560</v>
      </c>
      <c r="F197" s="2524">
        <v>1750</v>
      </c>
      <c r="G197" s="2537">
        <v>5520</v>
      </c>
    </row>
    <row r="198" spans="1:7" s="2513" customFormat="1">
      <c r="A198" s="2524" t="s">
        <v>420</v>
      </c>
      <c r="B198" s="2524" t="s">
        <v>241</v>
      </c>
      <c r="C198" s="2524">
        <v>8720</v>
      </c>
      <c r="D198" s="2524">
        <v>8680</v>
      </c>
      <c r="E198" s="2524">
        <v>11470</v>
      </c>
      <c r="F198" s="2524"/>
      <c r="G198" s="2537">
        <v>5480</v>
      </c>
    </row>
    <row r="199" spans="1:7" s="2513" customFormat="1">
      <c r="A199" s="2524" t="s">
        <v>420</v>
      </c>
      <c r="B199" s="2524" t="s">
        <v>286</v>
      </c>
      <c r="C199" s="2524">
        <v>8690</v>
      </c>
      <c r="D199" s="2524">
        <v>8630</v>
      </c>
      <c r="E199" s="2524">
        <v>11350</v>
      </c>
      <c r="F199" s="2524">
        <v>1600</v>
      </c>
      <c r="G199" s="2537">
        <v>5450</v>
      </c>
    </row>
    <row r="200" spans="1:7" s="2513" customFormat="1">
      <c r="A200" s="2524" t="s">
        <v>420</v>
      </c>
      <c r="B200" s="2524" t="s">
        <v>2982</v>
      </c>
      <c r="C200" s="2524"/>
      <c r="D200" s="2524"/>
      <c r="E200" s="2524"/>
      <c r="F200" s="2524">
        <v>1510</v>
      </c>
      <c r="G200" s="2537"/>
    </row>
    <row r="201" spans="1:7" s="2513" customFormat="1">
      <c r="A201" s="2524" t="s">
        <v>420</v>
      </c>
      <c r="B201" s="2524" t="s">
        <v>296</v>
      </c>
      <c r="C201" s="2524">
        <v>8440</v>
      </c>
      <c r="D201" s="2524">
        <v>8390</v>
      </c>
      <c r="E201" s="2524">
        <v>10930</v>
      </c>
      <c r="F201" s="2524">
        <v>1500</v>
      </c>
      <c r="G201" s="2537">
        <v>5300</v>
      </c>
    </row>
    <row r="202" spans="1:7" s="2513" customFormat="1">
      <c r="A202" s="2524" t="s">
        <v>420</v>
      </c>
      <c r="B202" s="2524" t="s">
        <v>305</v>
      </c>
      <c r="C202" s="2524">
        <v>8530</v>
      </c>
      <c r="D202" s="2524">
        <v>8490</v>
      </c>
      <c r="E202" s="2524">
        <v>11160</v>
      </c>
      <c r="F202" s="2524">
        <v>1580</v>
      </c>
      <c r="G202" s="2537">
        <v>5360</v>
      </c>
    </row>
    <row r="203" spans="1:7" s="2513" customFormat="1">
      <c r="A203" s="2524" t="s">
        <v>420</v>
      </c>
      <c r="B203" s="2524" t="s">
        <v>314</v>
      </c>
      <c r="C203" s="2524">
        <v>8130</v>
      </c>
      <c r="D203" s="2524">
        <v>8070</v>
      </c>
      <c r="E203" s="2524">
        <v>10820</v>
      </c>
      <c r="F203" s="2524">
        <v>1690</v>
      </c>
      <c r="G203" s="2537">
        <v>5100</v>
      </c>
    </row>
    <row r="204" spans="1:7" s="2513" customFormat="1">
      <c r="A204" s="2524" t="s">
        <v>420</v>
      </c>
      <c r="B204" s="2524" t="s">
        <v>2974</v>
      </c>
      <c r="C204" s="2524">
        <v>8350</v>
      </c>
      <c r="D204" s="2524">
        <v>8290</v>
      </c>
      <c r="E204" s="2524">
        <v>11080</v>
      </c>
      <c r="F204" s="2524">
        <v>1450</v>
      </c>
      <c r="G204" s="2537">
        <v>5240</v>
      </c>
    </row>
    <row r="205" spans="1:7" s="2513" customFormat="1">
      <c r="A205" s="2524" t="s">
        <v>420</v>
      </c>
      <c r="B205" s="2524" t="s">
        <v>2975</v>
      </c>
      <c r="C205" s="2524">
        <v>7190</v>
      </c>
      <c r="D205" s="2524">
        <v>7130</v>
      </c>
      <c r="E205" s="2524">
        <v>9490</v>
      </c>
      <c r="F205" s="2524">
        <v>1470</v>
      </c>
      <c r="G205" s="2537">
        <v>4510</v>
      </c>
    </row>
    <row r="206" spans="1:7" s="2513" customFormat="1">
      <c r="A206" s="2524" t="s">
        <v>420</v>
      </c>
      <c r="B206" s="2524" t="s">
        <v>2976</v>
      </c>
      <c r="C206" s="2524">
        <v>7000</v>
      </c>
      <c r="D206" s="2524">
        <v>6950</v>
      </c>
      <c r="E206" s="2524">
        <v>9170</v>
      </c>
      <c r="F206" s="2524">
        <v>1400</v>
      </c>
      <c r="G206" s="2537">
        <v>4380</v>
      </c>
    </row>
    <row r="207" spans="1:7" s="2513" customFormat="1">
      <c r="A207" s="2524" t="s">
        <v>420</v>
      </c>
      <c r="B207" s="2524" t="s">
        <v>2977</v>
      </c>
      <c r="C207" s="2524">
        <v>6950</v>
      </c>
      <c r="D207" s="2524">
        <v>6900</v>
      </c>
      <c r="E207" s="2524">
        <v>9110</v>
      </c>
      <c r="F207" s="2524">
        <v>1790</v>
      </c>
      <c r="G207" s="2537">
        <v>4360</v>
      </c>
    </row>
    <row r="208" spans="1:7" s="2513" customFormat="1">
      <c r="A208" s="2524" t="s">
        <v>420</v>
      </c>
      <c r="B208" s="2524" t="s">
        <v>324</v>
      </c>
      <c r="C208" s="2524">
        <v>9470</v>
      </c>
      <c r="D208" s="2524">
        <v>9410</v>
      </c>
      <c r="E208" s="2524">
        <v>12330</v>
      </c>
      <c r="F208" s="2524">
        <v>1770</v>
      </c>
      <c r="G208" s="2537">
        <v>5940</v>
      </c>
    </row>
    <row r="209" spans="1:7" s="2513" customFormat="1">
      <c r="A209" s="2524" t="s">
        <v>420</v>
      </c>
      <c r="B209" s="2524" t="s">
        <v>333</v>
      </c>
      <c r="C209" s="2524">
        <v>8740</v>
      </c>
      <c r="D209" s="2524">
        <v>8700</v>
      </c>
      <c r="E209" s="2524">
        <v>11500</v>
      </c>
      <c r="F209" s="2524">
        <v>1730</v>
      </c>
      <c r="G209" s="2537">
        <v>5490</v>
      </c>
    </row>
    <row r="210" spans="1:7" s="2513" customFormat="1">
      <c r="A210" s="2524" t="s">
        <v>420</v>
      </c>
      <c r="B210" s="2524" t="s">
        <v>2978</v>
      </c>
      <c r="C210" s="2524">
        <v>8710</v>
      </c>
      <c r="D210" s="2524">
        <v>8660</v>
      </c>
      <c r="E210" s="2524">
        <v>11440</v>
      </c>
      <c r="F210" s="2524">
        <v>1740</v>
      </c>
      <c r="G210" s="2537">
        <v>5470</v>
      </c>
    </row>
    <row r="211" spans="1:7" s="2513" customFormat="1">
      <c r="A211" s="2524" t="s">
        <v>420</v>
      </c>
      <c r="B211" s="2524" t="s">
        <v>357</v>
      </c>
      <c r="C211" s="2524">
        <v>9480</v>
      </c>
      <c r="D211" s="2524">
        <v>9430</v>
      </c>
      <c r="E211" s="2524">
        <v>12360</v>
      </c>
      <c r="F211" s="2524">
        <v>1820</v>
      </c>
      <c r="G211" s="2537">
        <v>5950</v>
      </c>
    </row>
    <row r="212" spans="1:7" s="2513" customFormat="1">
      <c r="A212" s="2524" t="s">
        <v>420</v>
      </c>
      <c r="B212" s="2524" t="s">
        <v>362</v>
      </c>
      <c r="C212" s="2524">
        <v>9070</v>
      </c>
      <c r="D212" s="2524">
        <v>9020</v>
      </c>
      <c r="E212" s="2524">
        <v>11720</v>
      </c>
      <c r="F212" s="2524">
        <v>1850</v>
      </c>
      <c r="G212" s="2537">
        <v>5700</v>
      </c>
    </row>
    <row r="213" spans="1:7" s="2513" customFormat="1">
      <c r="A213" s="2524" t="s">
        <v>420</v>
      </c>
      <c r="B213" s="2524" t="s">
        <v>368</v>
      </c>
      <c r="C213" s="2524">
        <v>9030</v>
      </c>
      <c r="D213" s="2524">
        <v>8980</v>
      </c>
      <c r="E213" s="2524">
        <v>11670</v>
      </c>
      <c r="F213" s="2524">
        <v>1690</v>
      </c>
      <c r="G213" s="2537">
        <v>5670</v>
      </c>
    </row>
    <row r="214" spans="1:7" s="2513" customFormat="1">
      <c r="A214" s="2524" t="s">
        <v>420</v>
      </c>
      <c r="B214" s="2524" t="s">
        <v>2979</v>
      </c>
      <c r="C214" s="2524">
        <v>8090</v>
      </c>
      <c r="D214" s="2524">
        <v>8030</v>
      </c>
      <c r="E214" s="2524">
        <v>10780</v>
      </c>
      <c r="F214" s="2524">
        <v>1570</v>
      </c>
      <c r="G214" s="2537">
        <v>5070</v>
      </c>
    </row>
    <row r="215" spans="1:7" s="2513" customFormat="1">
      <c r="A215" s="2524" t="s">
        <v>420</v>
      </c>
      <c r="B215" s="2524" t="s">
        <v>2980</v>
      </c>
      <c r="C215" s="2524">
        <v>7950</v>
      </c>
      <c r="D215" s="2524">
        <v>7900</v>
      </c>
      <c r="E215" s="2524">
        <v>10560</v>
      </c>
      <c r="F215" s="2524">
        <v>1630</v>
      </c>
      <c r="G215" s="2537">
        <v>4990</v>
      </c>
    </row>
    <row r="216" spans="1:7" s="2513" customFormat="1">
      <c r="A216" s="2524" t="s">
        <v>420</v>
      </c>
      <c r="B216" s="2524" t="s">
        <v>382</v>
      </c>
      <c r="C216" s="2524">
        <v>8490</v>
      </c>
      <c r="D216" s="2524">
        <v>8440</v>
      </c>
      <c r="E216" s="2524">
        <v>11260</v>
      </c>
      <c r="F216" s="2524">
        <v>1690</v>
      </c>
      <c r="G216" s="2537">
        <v>5330</v>
      </c>
    </row>
    <row r="217" spans="1:7" s="2513" customFormat="1">
      <c r="A217" s="2524" t="s">
        <v>420</v>
      </c>
      <c r="B217" s="2524" t="s">
        <v>2981</v>
      </c>
      <c r="C217" s="2524">
        <v>8200</v>
      </c>
      <c r="D217" s="2524">
        <v>8150</v>
      </c>
      <c r="E217" s="2524">
        <v>10910</v>
      </c>
      <c r="F217" s="2524">
        <v>1670</v>
      </c>
      <c r="G217" s="2537">
        <v>5150</v>
      </c>
    </row>
    <row r="218" spans="1:7" s="2513" customFormat="1">
      <c r="A218" s="2524" t="s">
        <v>420</v>
      </c>
      <c r="B218" s="2524" t="s">
        <v>2983</v>
      </c>
      <c r="C218" s="2524"/>
      <c r="D218" s="2524"/>
      <c r="E218" s="2524"/>
      <c r="F218" s="2524">
        <v>2040</v>
      </c>
      <c r="G218" s="2537"/>
    </row>
    <row r="219" spans="1:7" s="2513" customFormat="1">
      <c r="A219" s="2524" t="s">
        <v>420</v>
      </c>
      <c r="B219" s="2524" t="s">
        <v>2984</v>
      </c>
      <c r="C219" s="2524"/>
      <c r="D219" s="2524"/>
      <c r="E219" s="2524"/>
      <c r="F219" s="2524">
        <v>2040</v>
      </c>
      <c r="G219" s="2537"/>
    </row>
    <row r="220" spans="1:7" s="2513" customFormat="1">
      <c r="A220" s="2524" t="s">
        <v>420</v>
      </c>
      <c r="B220" s="2524" t="s">
        <v>2997</v>
      </c>
      <c r="C220" s="2524"/>
      <c r="D220" s="2524"/>
      <c r="E220" s="2524"/>
      <c r="F220" s="2524">
        <v>2040</v>
      </c>
      <c r="G220" s="2537"/>
    </row>
    <row r="221" spans="1:7" s="2513" customFormat="1">
      <c r="A221" s="2524" t="s">
        <v>420</v>
      </c>
      <c r="B221" s="2524" t="s">
        <v>2998</v>
      </c>
      <c r="C221" s="2524"/>
      <c r="D221" s="2524"/>
      <c r="E221" s="2524"/>
      <c r="F221" s="2524">
        <v>2040</v>
      </c>
      <c r="G221" s="2537"/>
    </row>
    <row r="222" spans="1:7" s="2513" customFormat="1">
      <c r="A222" s="2524" t="s">
        <v>420</v>
      </c>
      <c r="B222" s="2524" t="s">
        <v>3003</v>
      </c>
      <c r="C222" s="2524"/>
      <c r="D222" s="2524"/>
      <c r="E222" s="2524"/>
      <c r="F222" s="2524">
        <v>2040</v>
      </c>
      <c r="G222" s="2537"/>
    </row>
    <row r="223" spans="1:7" s="2513" customFormat="1">
      <c r="A223" s="2524" t="s">
        <v>420</v>
      </c>
      <c r="B223" s="2524" t="s">
        <v>2985</v>
      </c>
      <c r="C223" s="2524"/>
      <c r="D223" s="2524"/>
      <c r="E223" s="2524"/>
      <c r="F223" s="2524">
        <v>1930</v>
      </c>
      <c r="G223" s="2537"/>
    </row>
    <row r="224" spans="1:7" s="2513" customFormat="1">
      <c r="A224" s="2524" t="s">
        <v>420</v>
      </c>
      <c r="B224" s="2524" t="s">
        <v>2986</v>
      </c>
      <c r="C224" s="2524"/>
      <c r="D224" s="2524"/>
      <c r="E224" s="2524"/>
      <c r="F224" s="2524">
        <v>1930</v>
      </c>
      <c r="G224" s="2537"/>
    </row>
    <row r="225" spans="1:7" s="2513" customFormat="1">
      <c r="A225" s="2524" t="s">
        <v>420</v>
      </c>
      <c r="B225" s="2524" t="s">
        <v>2987</v>
      </c>
      <c r="C225" s="2524"/>
      <c r="D225" s="2524"/>
      <c r="E225" s="2524"/>
      <c r="F225" s="2524">
        <v>1930</v>
      </c>
      <c r="G225" s="2537"/>
    </row>
    <row r="226" spans="1:7" s="2513" customFormat="1">
      <c r="A226" s="2524" t="s">
        <v>420</v>
      </c>
      <c r="B226" s="2524" t="s">
        <v>403</v>
      </c>
      <c r="C226" s="2524"/>
      <c r="D226" s="2524"/>
      <c r="E226" s="2524"/>
      <c r="F226" s="2524">
        <v>1700</v>
      </c>
      <c r="G226" s="2537"/>
    </row>
    <row r="227" spans="1:7" s="2513" customFormat="1">
      <c r="A227" s="2524" t="s">
        <v>420</v>
      </c>
      <c r="B227" s="2524" t="s">
        <v>3047</v>
      </c>
      <c r="C227" s="2524"/>
      <c r="D227" s="2524"/>
      <c r="E227" s="2524"/>
      <c r="F227" s="2524">
        <v>1520</v>
      </c>
      <c r="G227" s="2537"/>
    </row>
    <row r="228" spans="1:7" s="2513" customFormat="1">
      <c r="A228" s="2524" t="s">
        <v>420</v>
      </c>
      <c r="B228" s="2524" t="s">
        <v>3048</v>
      </c>
      <c r="C228" s="2524"/>
      <c r="D228" s="2524"/>
      <c r="E228" s="2524"/>
      <c r="F228" s="2524">
        <v>1520</v>
      </c>
      <c r="G228" s="2537"/>
    </row>
    <row r="229" spans="1:7" s="2513" customFormat="1">
      <c r="A229" s="2524" t="s">
        <v>420</v>
      </c>
      <c r="B229" s="2524" t="s">
        <v>3049</v>
      </c>
      <c r="C229" s="2524"/>
      <c r="D229" s="2524"/>
      <c r="E229" s="2524"/>
      <c r="F229" s="2524">
        <v>1520</v>
      </c>
      <c r="G229" s="2537"/>
    </row>
    <row r="230" spans="1:7" s="2513" customFormat="1">
      <c r="A230" s="2524" t="s">
        <v>420</v>
      </c>
      <c r="B230" s="2524" t="s">
        <v>2993</v>
      </c>
      <c r="C230" s="2524"/>
      <c r="D230" s="2524"/>
      <c r="E230" s="2524"/>
      <c r="F230" s="2524">
        <v>1820</v>
      </c>
      <c r="G230" s="2537"/>
    </row>
    <row r="231" spans="1:7" s="2513" customFormat="1">
      <c r="A231" s="2524" t="s">
        <v>420</v>
      </c>
      <c r="B231" s="2524" t="s">
        <v>2991</v>
      </c>
      <c r="C231" s="2524"/>
      <c r="D231" s="2524"/>
      <c r="E231" s="2524"/>
      <c r="F231" s="2524">
        <v>1760</v>
      </c>
      <c r="G231" s="2537"/>
    </row>
    <row r="232" spans="1:7" s="2513" customFormat="1">
      <c r="A232" s="2524" t="s">
        <v>420</v>
      </c>
      <c r="B232" s="2524" t="s">
        <v>3050</v>
      </c>
      <c r="C232" s="2524"/>
      <c r="D232" s="2524"/>
      <c r="E232" s="2524"/>
      <c r="F232" s="2524">
        <v>1840</v>
      </c>
      <c r="G232" s="2537"/>
    </row>
    <row r="233" spans="1:7" s="2513" customFormat="1" ht="12.5" thickBot="1">
      <c r="A233" s="2538" t="s">
        <v>420</v>
      </c>
      <c r="B233" s="2531" t="s">
        <v>2992</v>
      </c>
      <c r="C233" s="2531"/>
      <c r="D233" s="2531"/>
      <c r="E233" s="2531"/>
      <c r="F233" s="2531">
        <v>1770</v>
      </c>
      <c r="G233" s="2539"/>
    </row>
    <row r="234" spans="1:7" s="2513" customFormat="1">
      <c r="A234" s="2529" t="s">
        <v>422</v>
      </c>
      <c r="B234" s="2520" t="s">
        <v>423</v>
      </c>
      <c r="C234" s="2524">
        <v>6980</v>
      </c>
      <c r="D234" s="2524">
        <v>6970</v>
      </c>
      <c r="E234" s="2524">
        <v>8720</v>
      </c>
      <c r="F234" s="2524">
        <v>1350</v>
      </c>
      <c r="G234" s="2524">
        <v>4280</v>
      </c>
    </row>
    <row r="235" spans="1:7" s="2513" customFormat="1">
      <c r="A235" s="2524" t="s">
        <v>422</v>
      </c>
      <c r="B235" s="2524" t="s">
        <v>166</v>
      </c>
      <c r="C235" s="2524">
        <v>7620</v>
      </c>
      <c r="D235" s="2524">
        <v>7580</v>
      </c>
      <c r="E235" s="2524">
        <v>9360</v>
      </c>
      <c r="F235" s="2524">
        <v>1490</v>
      </c>
      <c r="G235" s="2524">
        <v>4650</v>
      </c>
    </row>
    <row r="236" spans="1:7" s="2513" customFormat="1">
      <c r="A236" s="2524" t="s">
        <v>422</v>
      </c>
      <c r="B236" s="2524" t="s">
        <v>179</v>
      </c>
      <c r="C236" s="2524">
        <v>6650</v>
      </c>
      <c r="D236" s="2524">
        <v>6630</v>
      </c>
      <c r="E236" s="2524">
        <v>8330</v>
      </c>
      <c r="F236" s="2524">
        <v>1250</v>
      </c>
      <c r="G236" s="2524">
        <v>4070</v>
      </c>
    </row>
    <row r="237" spans="1:7" s="2513" customFormat="1">
      <c r="A237" s="2524" t="s">
        <v>422</v>
      </c>
      <c r="B237" s="2524" t="s">
        <v>192</v>
      </c>
      <c r="C237" s="2524">
        <v>5850</v>
      </c>
      <c r="D237" s="2524">
        <v>5820</v>
      </c>
      <c r="E237" s="2524">
        <v>7260</v>
      </c>
      <c r="F237" s="2524">
        <v>1140</v>
      </c>
      <c r="G237" s="2524">
        <v>3570</v>
      </c>
    </row>
    <row r="238" spans="1:7" s="2513" customFormat="1">
      <c r="A238" s="2524" t="s">
        <v>422</v>
      </c>
      <c r="B238" s="2524" t="s">
        <v>2994</v>
      </c>
      <c r="C238" s="2524">
        <v>6920</v>
      </c>
      <c r="D238" s="2524">
        <v>6890</v>
      </c>
      <c r="E238" s="2524">
        <v>8640</v>
      </c>
      <c r="F238" s="2524">
        <v>1310</v>
      </c>
      <c r="G238" s="2524">
        <v>4230</v>
      </c>
    </row>
    <row r="239" spans="1:7" s="2513" customFormat="1">
      <c r="A239" s="2524" t="s">
        <v>422</v>
      </c>
      <c r="B239" s="2524" t="s">
        <v>203</v>
      </c>
      <c r="C239" s="2524">
        <v>6780</v>
      </c>
      <c r="D239" s="2524">
        <v>6750</v>
      </c>
      <c r="E239" s="2524">
        <v>8440</v>
      </c>
      <c r="F239" s="2524">
        <v>1160</v>
      </c>
      <c r="G239" s="2524">
        <v>4140</v>
      </c>
    </row>
    <row r="240" spans="1:7" s="2513" customFormat="1">
      <c r="A240" s="2524" t="s">
        <v>422</v>
      </c>
      <c r="B240" s="2524" t="s">
        <v>212</v>
      </c>
      <c r="C240" s="2524">
        <v>5420</v>
      </c>
      <c r="D240" s="2524">
        <v>5380</v>
      </c>
      <c r="E240" s="2524">
        <v>6640</v>
      </c>
      <c r="F240" s="2524">
        <v>1020</v>
      </c>
      <c r="G240" s="2524">
        <v>3300</v>
      </c>
    </row>
    <row r="241" spans="1:7" s="2513" customFormat="1">
      <c r="A241" s="2524" t="s">
        <v>422</v>
      </c>
      <c r="B241" s="2524" t="s">
        <v>222</v>
      </c>
      <c r="C241" s="2524">
        <v>6660</v>
      </c>
      <c r="D241" s="2524">
        <v>6640</v>
      </c>
      <c r="E241" s="2524">
        <v>8340</v>
      </c>
      <c r="F241" s="2524">
        <v>1130</v>
      </c>
      <c r="G241" s="2524">
        <v>4080</v>
      </c>
    </row>
    <row r="242" spans="1:7" s="2513" customFormat="1">
      <c r="A242" s="2524" t="s">
        <v>422</v>
      </c>
      <c r="B242" s="2524" t="s">
        <v>232</v>
      </c>
      <c r="C242" s="2524">
        <v>6580</v>
      </c>
      <c r="D242" s="2524">
        <v>6550</v>
      </c>
      <c r="E242" s="2524">
        <v>8090</v>
      </c>
      <c r="F242" s="2524">
        <v>1240</v>
      </c>
      <c r="G242" s="2524">
        <v>4020</v>
      </c>
    </row>
    <row r="243" spans="1:7" s="2513" customFormat="1">
      <c r="A243" s="2524" t="s">
        <v>422</v>
      </c>
      <c r="B243" s="2524" t="s">
        <v>242</v>
      </c>
      <c r="C243" s="2524">
        <v>6000</v>
      </c>
      <c r="D243" s="2524">
        <v>5970</v>
      </c>
      <c r="E243" s="2524">
        <v>7370</v>
      </c>
      <c r="F243" s="2524">
        <v>1070</v>
      </c>
      <c r="G243" s="2524">
        <v>3670</v>
      </c>
    </row>
    <row r="244" spans="1:7" s="2513" customFormat="1">
      <c r="A244" s="2524" t="s">
        <v>422</v>
      </c>
      <c r="B244" s="2524" t="s">
        <v>251</v>
      </c>
      <c r="C244" s="2524">
        <v>5840</v>
      </c>
      <c r="D244" s="2524">
        <v>5810</v>
      </c>
      <c r="E244" s="2524">
        <v>7240</v>
      </c>
      <c r="F244" s="2524">
        <v>1100</v>
      </c>
      <c r="G244" s="2524">
        <v>3560</v>
      </c>
    </row>
    <row r="245" spans="1:7" s="2513" customFormat="1">
      <c r="A245" s="2524" t="s">
        <v>422</v>
      </c>
      <c r="B245" s="2524" t="s">
        <v>260</v>
      </c>
      <c r="C245" s="2524">
        <v>6040</v>
      </c>
      <c r="D245" s="2524">
        <v>6000</v>
      </c>
      <c r="E245" s="2524">
        <v>7420</v>
      </c>
      <c r="F245" s="2524">
        <v>1140</v>
      </c>
      <c r="G245" s="2524">
        <v>3690</v>
      </c>
    </row>
    <row r="246" spans="1:7" s="2513" customFormat="1">
      <c r="A246" s="2524" t="s">
        <v>422</v>
      </c>
      <c r="B246" s="2524" t="s">
        <v>268</v>
      </c>
      <c r="C246" s="2524">
        <v>5890</v>
      </c>
      <c r="D246" s="2524">
        <v>5860</v>
      </c>
      <c r="E246" s="2524">
        <v>7300</v>
      </c>
      <c r="F246" s="2524">
        <v>1110</v>
      </c>
      <c r="G246" s="2524">
        <v>3590</v>
      </c>
    </row>
    <row r="247" spans="1:7" s="2513" customFormat="1">
      <c r="A247" s="2524" t="s">
        <v>422</v>
      </c>
      <c r="B247" s="2524" t="s">
        <v>276</v>
      </c>
      <c r="C247" s="2524">
        <v>6480</v>
      </c>
      <c r="D247" s="2524">
        <v>6450</v>
      </c>
      <c r="E247" s="2524">
        <v>8010</v>
      </c>
      <c r="F247" s="2524">
        <v>1170</v>
      </c>
      <c r="G247" s="2524">
        <v>3960</v>
      </c>
    </row>
    <row r="248" spans="1:7" s="2513" customFormat="1">
      <c r="A248" s="2524" t="s">
        <v>422</v>
      </c>
      <c r="B248" s="2524" t="s">
        <v>287</v>
      </c>
      <c r="C248" s="2524">
        <v>6860</v>
      </c>
      <c r="D248" s="2524">
        <v>6840</v>
      </c>
      <c r="E248" s="2524">
        <v>8520</v>
      </c>
      <c r="F248" s="2524">
        <v>1240</v>
      </c>
      <c r="G248" s="2524">
        <v>4200</v>
      </c>
    </row>
    <row r="249" spans="1:7" s="2513" customFormat="1">
      <c r="A249" s="2524" t="s">
        <v>422</v>
      </c>
      <c r="B249" s="2524" t="s">
        <v>297</v>
      </c>
      <c r="C249" s="2524">
        <v>7180</v>
      </c>
      <c r="D249" s="2524">
        <v>7140</v>
      </c>
      <c r="E249" s="2524">
        <v>8900</v>
      </c>
      <c r="F249" s="2524">
        <v>1350</v>
      </c>
      <c r="G249" s="2524">
        <v>4380</v>
      </c>
    </row>
    <row r="250" spans="1:7" s="2513" customFormat="1">
      <c r="A250" s="2524" t="s">
        <v>422</v>
      </c>
      <c r="B250" s="2524" t="s">
        <v>306</v>
      </c>
      <c r="C250" s="2524">
        <v>6880</v>
      </c>
      <c r="D250" s="2524">
        <v>6860</v>
      </c>
      <c r="E250" s="2524">
        <v>8550</v>
      </c>
      <c r="F250" s="2524">
        <v>1220</v>
      </c>
      <c r="G250" s="2524">
        <v>4210</v>
      </c>
    </row>
    <row r="251" spans="1:7" s="2513" customFormat="1">
      <c r="A251" s="2524" t="s">
        <v>422</v>
      </c>
      <c r="B251" s="2524" t="s">
        <v>315</v>
      </c>
      <c r="C251" s="2524"/>
      <c r="D251" s="2524"/>
      <c r="E251" s="2524"/>
      <c r="F251" s="2524">
        <v>1100</v>
      </c>
      <c r="G251" s="2524"/>
    </row>
    <row r="252" spans="1:7" s="2513" customFormat="1">
      <c r="A252" s="2524" t="s">
        <v>422</v>
      </c>
      <c r="B252" s="2524" t="s">
        <v>353</v>
      </c>
      <c r="C252" s="2524">
        <v>7240</v>
      </c>
      <c r="D252" s="2524">
        <v>7200</v>
      </c>
      <c r="E252" s="2524">
        <v>9040</v>
      </c>
      <c r="F252" s="2524">
        <v>1380</v>
      </c>
      <c r="G252" s="2524">
        <v>4420</v>
      </c>
    </row>
    <row r="253" spans="1:7" s="2513" customFormat="1">
      <c r="A253" s="2524" t="s">
        <v>422</v>
      </c>
      <c r="B253" s="2524" t="s">
        <v>358</v>
      </c>
      <c r="C253" s="2524">
        <v>6670</v>
      </c>
      <c r="D253" s="2524">
        <v>6650</v>
      </c>
      <c r="E253" s="2524">
        <v>8350</v>
      </c>
      <c r="F253" s="2524">
        <v>1260</v>
      </c>
      <c r="G253" s="2524">
        <v>4080</v>
      </c>
    </row>
    <row r="254" spans="1:7" s="2513" customFormat="1">
      <c r="A254" s="2524" t="s">
        <v>422</v>
      </c>
      <c r="B254" s="2524" t="s">
        <v>363</v>
      </c>
      <c r="C254" s="2524">
        <v>7630</v>
      </c>
      <c r="D254" s="2524">
        <v>7590</v>
      </c>
      <c r="E254" s="2524">
        <v>9380</v>
      </c>
      <c r="F254" s="2524">
        <v>1320</v>
      </c>
      <c r="G254" s="2524">
        <v>4660</v>
      </c>
    </row>
    <row r="255" spans="1:7" s="2513" customFormat="1">
      <c r="A255" s="2524" t="s">
        <v>422</v>
      </c>
      <c r="B255" s="2524" t="s">
        <v>369</v>
      </c>
      <c r="C255" s="2524">
        <v>6940</v>
      </c>
      <c r="D255" s="2524">
        <v>6890</v>
      </c>
      <c r="E255" s="2524">
        <v>8650</v>
      </c>
      <c r="F255" s="2524">
        <v>1210</v>
      </c>
      <c r="G255" s="2524">
        <v>4230</v>
      </c>
    </row>
    <row r="256" spans="1:7" s="2513" customFormat="1">
      <c r="A256" s="2524" t="s">
        <v>422</v>
      </c>
      <c r="B256" s="2524" t="s">
        <v>340</v>
      </c>
      <c r="C256" s="2524">
        <v>7520</v>
      </c>
      <c r="D256" s="2524">
        <v>7490</v>
      </c>
      <c r="E256" s="2524">
        <v>9240</v>
      </c>
      <c r="F256" s="2524">
        <v>1270</v>
      </c>
      <c r="G256" s="2524">
        <v>4590</v>
      </c>
    </row>
    <row r="257" spans="1:7" s="2513" customFormat="1">
      <c r="A257" s="2524" t="s">
        <v>422</v>
      </c>
      <c r="B257" s="2524" t="s">
        <v>347</v>
      </c>
      <c r="C257" s="2524">
        <v>6280</v>
      </c>
      <c r="D257" s="2524">
        <v>6230</v>
      </c>
      <c r="E257" s="2524">
        <v>7740</v>
      </c>
      <c r="F257" s="2524">
        <v>1080</v>
      </c>
      <c r="G257" s="2524">
        <v>3830</v>
      </c>
    </row>
    <row r="258" spans="1:7" s="2513" customFormat="1">
      <c r="A258" s="2524" t="s">
        <v>422</v>
      </c>
      <c r="B258" s="2524" t="s">
        <v>2995</v>
      </c>
      <c r="C258" s="2524">
        <v>6190</v>
      </c>
      <c r="D258" s="2524">
        <v>6160</v>
      </c>
      <c r="E258" s="2524">
        <v>7680</v>
      </c>
      <c r="F258" s="2524">
        <v>1170</v>
      </c>
      <c r="G258" s="2524">
        <v>3780</v>
      </c>
    </row>
    <row r="259" spans="1:7" s="2513" customFormat="1">
      <c r="A259" s="2524" t="s">
        <v>422</v>
      </c>
      <c r="B259" s="2524" t="s">
        <v>377</v>
      </c>
      <c r="C259" s="2524">
        <v>7610</v>
      </c>
      <c r="D259" s="2524">
        <v>7570</v>
      </c>
      <c r="E259" s="2524">
        <v>9350</v>
      </c>
      <c r="F259" s="2524">
        <v>1350</v>
      </c>
      <c r="G259" s="2524">
        <v>4650</v>
      </c>
    </row>
    <row r="260" spans="1:7" s="2513" customFormat="1">
      <c r="A260" s="2524" t="s">
        <v>422</v>
      </c>
      <c r="B260" s="2524" t="s">
        <v>3008</v>
      </c>
      <c r="C260" s="2524">
        <v>6920</v>
      </c>
      <c r="D260" s="2524">
        <v>6880</v>
      </c>
      <c r="E260" s="2524">
        <v>8380</v>
      </c>
      <c r="F260" s="2524">
        <v>1160</v>
      </c>
      <c r="G260" s="2524">
        <v>4220</v>
      </c>
    </row>
    <row r="261" spans="1:7" s="2513" customFormat="1">
      <c r="A261" s="2524" t="s">
        <v>422</v>
      </c>
      <c r="B261" s="2524" t="s">
        <v>383</v>
      </c>
      <c r="C261" s="2524">
        <v>6850</v>
      </c>
      <c r="D261" s="2524">
        <v>6810</v>
      </c>
      <c r="E261" s="2524">
        <v>8290</v>
      </c>
      <c r="F261" s="2524">
        <v>1130</v>
      </c>
      <c r="G261" s="2524">
        <v>4180</v>
      </c>
    </row>
    <row r="262" spans="1:7" s="2513" customFormat="1">
      <c r="A262" s="2524" t="s">
        <v>422</v>
      </c>
      <c r="B262" s="2524" t="s">
        <v>633</v>
      </c>
      <c r="C262" s="2524">
        <v>5860</v>
      </c>
      <c r="D262" s="2524">
        <v>5820</v>
      </c>
      <c r="E262" s="2524">
        <v>7640</v>
      </c>
      <c r="F262" s="2524">
        <v>1070</v>
      </c>
      <c r="G262" s="2524">
        <v>3570</v>
      </c>
    </row>
    <row r="263" spans="1:7" s="2513" customFormat="1">
      <c r="A263" s="2524" t="s">
        <v>422</v>
      </c>
      <c r="B263" s="2524" t="s">
        <v>388</v>
      </c>
      <c r="C263" s="2524">
        <v>5870</v>
      </c>
      <c r="D263" s="2524">
        <v>5840</v>
      </c>
      <c r="E263" s="2524">
        <v>7270</v>
      </c>
      <c r="F263" s="2524">
        <v>1190</v>
      </c>
      <c r="G263" s="2524">
        <v>3580</v>
      </c>
    </row>
    <row r="264" spans="1:7" s="2513" customFormat="1">
      <c r="A264" s="2524" t="s">
        <v>422</v>
      </c>
      <c r="B264" s="2524" t="s">
        <v>392</v>
      </c>
      <c r="C264" s="2524">
        <v>6190</v>
      </c>
      <c r="D264" s="2524">
        <v>6150</v>
      </c>
      <c r="E264" s="2524">
        <v>7660</v>
      </c>
      <c r="F264" s="2524">
        <v>1160</v>
      </c>
      <c r="G264" s="2524">
        <v>3770</v>
      </c>
    </row>
    <row r="265" spans="1:7" s="2513" customFormat="1">
      <c r="A265" s="2524" t="s">
        <v>422</v>
      </c>
      <c r="B265" s="2524" t="s">
        <v>2996</v>
      </c>
      <c r="C265" s="2524"/>
      <c r="D265" s="2524"/>
      <c r="E265" s="2524"/>
      <c r="F265" s="2524">
        <v>1500</v>
      </c>
      <c r="G265" s="2524"/>
    </row>
    <row r="266" spans="1:7" s="2513" customFormat="1">
      <c r="A266" s="2524" t="s">
        <v>422</v>
      </c>
      <c r="B266" s="2524" t="s">
        <v>3006</v>
      </c>
      <c r="C266" s="2524"/>
      <c r="D266" s="2524"/>
      <c r="E266" s="2524"/>
      <c r="F266" s="2524">
        <v>1500</v>
      </c>
      <c r="G266" s="2524"/>
    </row>
    <row r="267" spans="1:7" s="2513" customFormat="1">
      <c r="A267" s="2524" t="s">
        <v>422</v>
      </c>
      <c r="B267" s="2524" t="s">
        <v>2999</v>
      </c>
      <c r="C267" s="2524"/>
      <c r="D267" s="2524"/>
      <c r="E267" s="2524"/>
      <c r="F267" s="2524">
        <v>1500</v>
      </c>
      <c r="G267" s="2524"/>
    </row>
    <row r="268" spans="1:7" s="2513" customFormat="1">
      <c r="A268" s="2524" t="s">
        <v>422</v>
      </c>
      <c r="B268" s="2524" t="s">
        <v>3000</v>
      </c>
      <c r="C268" s="2524"/>
      <c r="D268" s="2524"/>
      <c r="E268" s="2524"/>
      <c r="F268" s="2524">
        <v>1290</v>
      </c>
      <c r="G268" s="2524"/>
    </row>
    <row r="269" spans="1:7" s="2513" customFormat="1">
      <c r="A269" s="2524" t="s">
        <v>422</v>
      </c>
      <c r="B269" s="2524" t="s">
        <v>3001</v>
      </c>
      <c r="C269" s="2524"/>
      <c r="D269" s="2524"/>
      <c r="E269" s="2524"/>
      <c r="F269" s="2524">
        <v>1150</v>
      </c>
      <c r="G269" s="2524"/>
    </row>
    <row r="270" spans="1:7" s="2513" customFormat="1">
      <c r="A270" s="2524" t="s">
        <v>422</v>
      </c>
      <c r="B270" s="2524" t="s">
        <v>404</v>
      </c>
      <c r="C270" s="2524"/>
      <c r="D270" s="2524"/>
      <c r="E270" s="2524"/>
      <c r="F270" s="2524">
        <v>1380</v>
      </c>
      <c r="G270" s="2524"/>
    </row>
    <row r="271" spans="1:7" s="2513" customFormat="1">
      <c r="A271" s="2524" t="s">
        <v>422</v>
      </c>
      <c r="B271" s="2524" t="s">
        <v>3002</v>
      </c>
      <c r="C271" s="2524"/>
      <c r="D271" s="2524"/>
      <c r="E271" s="2524"/>
      <c r="F271" s="2524">
        <v>1460</v>
      </c>
      <c r="G271" s="2524"/>
    </row>
    <row r="272" spans="1:7" s="2513" customFormat="1">
      <c r="A272" s="2524" t="s">
        <v>422</v>
      </c>
      <c r="B272" s="2524" t="s">
        <v>3004</v>
      </c>
      <c r="C272" s="2524"/>
      <c r="D272" s="2524"/>
      <c r="E272" s="2524"/>
      <c r="F272" s="2524">
        <v>1460</v>
      </c>
      <c r="G272" s="2524"/>
    </row>
    <row r="273" spans="1:7" s="2513" customFormat="1">
      <c r="A273" s="2524" t="s">
        <v>422</v>
      </c>
      <c r="B273" s="2524" t="s">
        <v>3007</v>
      </c>
      <c r="C273" s="2524"/>
      <c r="D273" s="2524"/>
      <c r="E273" s="2524"/>
      <c r="F273" s="2524">
        <v>1490</v>
      </c>
      <c r="G273" s="2524"/>
    </row>
    <row r="274" spans="1:7" s="2513" customFormat="1">
      <c r="A274" s="2524" t="s">
        <v>422</v>
      </c>
      <c r="B274" s="2524" t="s">
        <v>3005</v>
      </c>
      <c r="C274" s="2524"/>
      <c r="D274" s="2524"/>
      <c r="E274" s="2524"/>
      <c r="F274" s="2524">
        <v>1490</v>
      </c>
      <c r="G274" s="2524"/>
    </row>
    <row r="275" spans="1:7" s="2513" customFormat="1">
      <c r="A275" s="2524" t="s">
        <v>422</v>
      </c>
      <c r="B275" s="2524" t="s">
        <v>407</v>
      </c>
      <c r="C275" s="2524"/>
      <c r="D275" s="2524"/>
      <c r="E275" s="2524"/>
      <c r="F275" s="2524">
        <v>1220</v>
      </c>
      <c r="G275" s="2524"/>
    </row>
    <row r="276" spans="1:7" s="2513" customFormat="1" ht="12.5" thickBot="1">
      <c r="A276" s="2532" t="s">
        <v>422</v>
      </c>
      <c r="B276" s="2534" t="s">
        <v>405</v>
      </c>
      <c r="C276" s="2535"/>
      <c r="D276" s="2535"/>
      <c r="E276" s="2535"/>
      <c r="F276" s="2535">
        <v>1380</v>
      </c>
      <c r="G276" s="2535"/>
    </row>
    <row r="277" spans="1:7" s="2513" customFormat="1">
      <c r="A277" s="2529" t="s">
        <v>424</v>
      </c>
      <c r="B277" s="2520" t="s">
        <v>425</v>
      </c>
      <c r="C277" s="2520">
        <v>5790</v>
      </c>
      <c r="D277" s="2520">
        <v>5740</v>
      </c>
      <c r="E277" s="2520">
        <v>6730</v>
      </c>
      <c r="F277" s="2520">
        <v>1110</v>
      </c>
      <c r="G277" s="2536">
        <v>3460</v>
      </c>
    </row>
    <row r="278" spans="1:7" s="2513" customFormat="1">
      <c r="A278" s="2524" t="s">
        <v>424</v>
      </c>
      <c r="B278" s="2524" t="s">
        <v>167</v>
      </c>
      <c r="C278" s="2524">
        <v>5740</v>
      </c>
      <c r="D278" s="2524">
        <v>5670</v>
      </c>
      <c r="E278" s="2524">
        <v>6680</v>
      </c>
      <c r="F278" s="2524">
        <v>1070</v>
      </c>
      <c r="G278" s="2537">
        <v>3420</v>
      </c>
    </row>
    <row r="279" spans="1:7" s="2513" customFormat="1">
      <c r="A279" s="2524" t="s">
        <v>424</v>
      </c>
      <c r="B279" s="2524" t="s">
        <v>426</v>
      </c>
      <c r="C279" s="2524">
        <v>4760</v>
      </c>
      <c r="D279" s="2524">
        <v>4720</v>
      </c>
      <c r="E279" s="2524">
        <v>5540</v>
      </c>
      <c r="F279" s="2524">
        <v>810</v>
      </c>
      <c r="G279" s="2537">
        <v>2850</v>
      </c>
    </row>
    <row r="280" spans="1:7" s="2513" customFormat="1">
      <c r="A280" s="2524" t="s">
        <v>424</v>
      </c>
      <c r="B280" s="2524" t="s">
        <v>427</v>
      </c>
      <c r="C280" s="2524">
        <v>4010</v>
      </c>
      <c r="D280" s="2524">
        <v>3950</v>
      </c>
      <c r="E280" s="2524">
        <v>4710</v>
      </c>
      <c r="F280" s="2524">
        <v>800</v>
      </c>
      <c r="G280" s="2537">
        <v>2390</v>
      </c>
    </row>
    <row r="281" spans="1:7" s="2513" customFormat="1">
      <c r="A281" s="2524" t="s">
        <v>424</v>
      </c>
      <c r="B281" s="2524" t="s">
        <v>204</v>
      </c>
      <c r="C281" s="2524">
        <v>4480</v>
      </c>
      <c r="D281" s="2524">
        <v>4420</v>
      </c>
      <c r="E281" s="2524">
        <v>5230</v>
      </c>
      <c r="F281" s="2524">
        <v>870</v>
      </c>
      <c r="G281" s="2537">
        <v>2660</v>
      </c>
    </row>
    <row r="282" spans="1:7" s="2513" customFormat="1">
      <c r="A282" s="2524" t="s">
        <v>424</v>
      </c>
      <c r="B282" s="2524" t="s">
        <v>213</v>
      </c>
      <c r="C282" s="2524">
        <v>5360</v>
      </c>
      <c r="D282" s="2524">
        <v>5300</v>
      </c>
      <c r="E282" s="2524">
        <v>6190</v>
      </c>
      <c r="F282" s="2524">
        <v>950</v>
      </c>
      <c r="G282" s="2537">
        <v>3190</v>
      </c>
    </row>
    <row r="283" spans="1:7" s="2513" customFormat="1">
      <c r="A283" s="2524" t="s">
        <v>424</v>
      </c>
      <c r="B283" s="2524" t="s">
        <v>223</v>
      </c>
      <c r="C283" s="2524">
        <v>4950</v>
      </c>
      <c r="D283" s="2524">
        <v>4900</v>
      </c>
      <c r="E283" s="2524">
        <v>5720</v>
      </c>
      <c r="F283" s="2524">
        <v>920</v>
      </c>
      <c r="G283" s="2537">
        <v>2950</v>
      </c>
    </row>
    <row r="284" spans="1:7" s="2513" customFormat="1">
      <c r="A284" s="2524" t="s">
        <v>424</v>
      </c>
      <c r="B284" s="2524" t="s">
        <v>233</v>
      </c>
      <c r="C284" s="2524">
        <v>5610</v>
      </c>
      <c r="D284" s="2524">
        <v>5560</v>
      </c>
      <c r="E284" s="2524">
        <v>6520</v>
      </c>
      <c r="F284" s="2524">
        <v>1030</v>
      </c>
      <c r="G284" s="2537">
        <v>3360</v>
      </c>
    </row>
    <row r="285" spans="1:7" s="2513" customFormat="1">
      <c r="A285" s="2524" t="s">
        <v>424</v>
      </c>
      <c r="B285" s="2524" t="s">
        <v>243</v>
      </c>
      <c r="C285" s="2524">
        <v>5340</v>
      </c>
      <c r="D285" s="2524">
        <v>5290</v>
      </c>
      <c r="E285" s="2524">
        <v>6170</v>
      </c>
      <c r="F285" s="2524">
        <v>1080</v>
      </c>
      <c r="G285" s="2537">
        <v>3180</v>
      </c>
    </row>
    <row r="286" spans="1:7" s="2513" customFormat="1">
      <c r="A286" s="2524" t="s">
        <v>424</v>
      </c>
      <c r="B286" s="2524" t="s">
        <v>252</v>
      </c>
      <c r="C286" s="2524">
        <v>4890</v>
      </c>
      <c r="D286" s="2524">
        <v>4840</v>
      </c>
      <c r="E286" s="2524">
        <v>5640</v>
      </c>
      <c r="F286" s="2524">
        <v>960</v>
      </c>
      <c r="G286" s="2537">
        <v>2910</v>
      </c>
    </row>
    <row r="287" spans="1:7" s="2513" customFormat="1">
      <c r="A287" s="2524" t="s">
        <v>424</v>
      </c>
      <c r="B287" s="2524" t="s">
        <v>269</v>
      </c>
      <c r="C287" s="2524">
        <v>4960</v>
      </c>
      <c r="D287" s="2524">
        <v>4920</v>
      </c>
      <c r="E287" s="2524">
        <v>5730</v>
      </c>
      <c r="F287" s="2524">
        <v>930</v>
      </c>
      <c r="G287" s="2537">
        <v>2960</v>
      </c>
    </row>
    <row r="288" spans="1:7" s="2513" customFormat="1">
      <c r="A288" s="2524" t="s">
        <v>424</v>
      </c>
      <c r="B288" s="2524" t="s">
        <v>277</v>
      </c>
      <c r="C288" s="2524">
        <v>4350</v>
      </c>
      <c r="D288" s="2524">
        <v>4300</v>
      </c>
      <c r="E288" s="2524">
        <v>4900</v>
      </c>
      <c r="F288" s="2524">
        <v>820</v>
      </c>
      <c r="G288" s="2537">
        <v>2590</v>
      </c>
    </row>
    <row r="289" spans="1:7" s="2513" customFormat="1">
      <c r="A289" s="2524" t="s">
        <v>424</v>
      </c>
      <c r="B289" s="2524" t="s">
        <v>298</v>
      </c>
      <c r="C289" s="2524">
        <v>5230</v>
      </c>
      <c r="D289" s="2524">
        <v>5170</v>
      </c>
      <c r="E289" s="2524">
        <v>6060</v>
      </c>
      <c r="F289" s="2524">
        <v>900</v>
      </c>
      <c r="G289" s="2537">
        <v>3120</v>
      </c>
    </row>
    <row r="290" spans="1:7" s="2513" customFormat="1">
      <c r="A290" s="2524" t="s">
        <v>424</v>
      </c>
      <c r="B290" s="2524" t="s">
        <v>307</v>
      </c>
      <c r="C290" s="2524">
        <v>5550</v>
      </c>
      <c r="D290" s="2524">
        <v>5500</v>
      </c>
      <c r="E290" s="2524">
        <v>6440</v>
      </c>
      <c r="F290" s="2524">
        <v>960</v>
      </c>
      <c r="G290" s="2537">
        <v>3320</v>
      </c>
    </row>
    <row r="291" spans="1:7" s="2513" customFormat="1">
      <c r="A291" s="2524" t="s">
        <v>424</v>
      </c>
      <c r="B291" s="2524" t="s">
        <v>316</v>
      </c>
      <c r="C291" s="2524">
        <v>5440</v>
      </c>
      <c r="D291" s="2524">
        <v>5400</v>
      </c>
      <c r="E291" s="2524">
        <v>6320</v>
      </c>
      <c r="F291" s="2524">
        <v>930</v>
      </c>
      <c r="G291" s="2537">
        <v>3250</v>
      </c>
    </row>
    <row r="292" spans="1:7" s="2513" customFormat="1">
      <c r="A292" s="2524" t="s">
        <v>424</v>
      </c>
      <c r="B292" s="2524" t="s">
        <v>325</v>
      </c>
      <c r="C292" s="2524">
        <v>5400</v>
      </c>
      <c r="D292" s="2524">
        <v>5360</v>
      </c>
      <c r="E292" s="2524">
        <v>6270</v>
      </c>
      <c r="F292" s="2524">
        <v>1040</v>
      </c>
      <c r="G292" s="2537">
        <v>3230</v>
      </c>
    </row>
    <row r="293" spans="1:7" s="2513" customFormat="1">
      <c r="A293" s="2524" t="s">
        <v>424</v>
      </c>
      <c r="B293" s="2524" t="s">
        <v>3009</v>
      </c>
      <c r="C293" s="2524">
        <v>5320</v>
      </c>
      <c r="D293" s="2524">
        <v>5270</v>
      </c>
      <c r="E293" s="2524">
        <v>6160</v>
      </c>
      <c r="F293" s="2524">
        <v>990</v>
      </c>
      <c r="G293" s="2537">
        <v>3170</v>
      </c>
    </row>
    <row r="294" spans="1:7" s="2513" customFormat="1">
      <c r="A294" s="2524" t="s">
        <v>424</v>
      </c>
      <c r="B294" s="2524" t="s">
        <v>364</v>
      </c>
      <c r="C294" s="2524">
        <v>5260</v>
      </c>
      <c r="D294" s="2524">
        <v>5210</v>
      </c>
      <c r="E294" s="2524">
        <v>6100</v>
      </c>
      <c r="F294" s="2524">
        <v>950</v>
      </c>
      <c r="G294" s="2537">
        <v>3150</v>
      </c>
    </row>
    <row r="295" spans="1:7" s="2513" customFormat="1">
      <c r="A295" s="2524" t="s">
        <v>424</v>
      </c>
      <c r="B295" s="2524" t="s">
        <v>370</v>
      </c>
      <c r="C295" s="2524">
        <v>5610</v>
      </c>
      <c r="D295" s="2524">
        <v>5570</v>
      </c>
      <c r="E295" s="2524">
        <v>6530</v>
      </c>
      <c r="F295" s="2524">
        <v>960</v>
      </c>
      <c r="G295" s="2537">
        <v>3360</v>
      </c>
    </row>
    <row r="296" spans="1:7" s="2513" customFormat="1">
      <c r="A296" s="2524" t="s">
        <v>424</v>
      </c>
      <c r="B296" s="2524" t="s">
        <v>374</v>
      </c>
      <c r="C296" s="2524">
        <v>5540</v>
      </c>
      <c r="D296" s="2524">
        <v>5490</v>
      </c>
      <c r="E296" s="2524">
        <v>6430</v>
      </c>
      <c r="F296" s="2524">
        <v>980</v>
      </c>
      <c r="G296" s="2537">
        <v>3310</v>
      </c>
    </row>
    <row r="297" spans="1:7" s="2513" customFormat="1">
      <c r="A297" s="2524" t="s">
        <v>424</v>
      </c>
      <c r="B297" s="2524" t="s">
        <v>378</v>
      </c>
      <c r="C297" s="2524">
        <v>5480</v>
      </c>
      <c r="D297" s="2524">
        <v>5420</v>
      </c>
      <c r="E297" s="2524">
        <v>6370</v>
      </c>
      <c r="F297" s="2524">
        <v>990</v>
      </c>
      <c r="G297" s="2537">
        <v>3270</v>
      </c>
    </row>
    <row r="298" spans="1:7" s="2513" customFormat="1">
      <c r="A298" s="2524" t="s">
        <v>424</v>
      </c>
      <c r="B298" s="2524" t="s">
        <v>384</v>
      </c>
      <c r="C298" s="2524">
        <v>5090</v>
      </c>
      <c r="D298" s="2524">
        <v>5050</v>
      </c>
      <c r="E298" s="2524">
        <v>5910</v>
      </c>
      <c r="F298" s="2524">
        <v>900</v>
      </c>
      <c r="G298" s="2537">
        <v>3040</v>
      </c>
    </row>
    <row r="299" spans="1:7" s="2513" customFormat="1">
      <c r="A299" s="2524" t="s">
        <v>424</v>
      </c>
      <c r="B299" s="2533" t="s">
        <v>3010</v>
      </c>
      <c r="C299" s="2524">
        <v>5430</v>
      </c>
      <c r="D299" s="2524">
        <v>5380</v>
      </c>
      <c r="E299" s="2524">
        <v>6280</v>
      </c>
      <c r="F299" s="2524">
        <v>1000</v>
      </c>
      <c r="G299" s="2537">
        <v>3240</v>
      </c>
    </row>
    <row r="300" spans="1:7" s="2513" customFormat="1">
      <c r="A300" s="2524" t="s">
        <v>424</v>
      </c>
      <c r="B300" s="2533" t="s">
        <v>341</v>
      </c>
      <c r="C300" s="2524">
        <v>4740</v>
      </c>
      <c r="D300" s="2524">
        <v>4680</v>
      </c>
      <c r="E300" s="2524">
        <v>5450</v>
      </c>
      <c r="F300" s="2524">
        <v>900</v>
      </c>
      <c r="G300" s="2537">
        <v>2830</v>
      </c>
    </row>
    <row r="301" spans="1:7" s="2513" customFormat="1">
      <c r="A301" s="2524" t="s">
        <v>424</v>
      </c>
      <c r="B301" s="2533" t="s">
        <v>348</v>
      </c>
      <c r="C301" s="2524">
        <v>4870</v>
      </c>
      <c r="D301" s="2524">
        <v>4810</v>
      </c>
      <c r="E301" s="2524">
        <v>5560</v>
      </c>
      <c r="F301" s="2524">
        <v>990</v>
      </c>
      <c r="G301" s="2537">
        <v>2910</v>
      </c>
    </row>
    <row r="302" spans="1:7" s="2513" customFormat="1">
      <c r="A302" s="2524" t="s">
        <v>424</v>
      </c>
      <c r="B302" s="2524" t="s">
        <v>393</v>
      </c>
      <c r="C302" s="2524">
        <v>5520</v>
      </c>
      <c r="D302" s="2524">
        <v>5470</v>
      </c>
      <c r="E302" s="2524">
        <v>6410</v>
      </c>
      <c r="F302" s="2524">
        <v>950</v>
      </c>
      <c r="G302" s="2537">
        <v>3300</v>
      </c>
    </row>
    <row r="303" spans="1:7" s="2513" customFormat="1">
      <c r="A303" s="2524" t="s">
        <v>424</v>
      </c>
      <c r="B303" s="2524" t="s">
        <v>3011</v>
      </c>
      <c r="C303" s="2524">
        <v>5630</v>
      </c>
      <c r="D303" s="2524">
        <v>5590</v>
      </c>
      <c r="E303" s="2524">
        <v>6550</v>
      </c>
      <c r="F303" s="2524">
        <v>1010</v>
      </c>
      <c r="G303" s="2537">
        <v>3370</v>
      </c>
    </row>
    <row r="304" spans="1:7" s="2513" customFormat="1">
      <c r="A304" s="2524" t="s">
        <v>424</v>
      </c>
      <c r="B304" s="2524" t="s">
        <v>3012</v>
      </c>
      <c r="C304" s="2524">
        <v>5680</v>
      </c>
      <c r="D304" s="2524">
        <v>5620</v>
      </c>
      <c r="E304" s="2524">
        <v>6620</v>
      </c>
      <c r="F304" s="2524">
        <v>1050</v>
      </c>
      <c r="G304" s="2537">
        <v>3390</v>
      </c>
    </row>
    <row r="305" spans="1:7" s="2513" customFormat="1">
      <c r="A305" s="2524" t="s">
        <v>424</v>
      </c>
      <c r="B305" s="2524" t="s">
        <v>3013</v>
      </c>
      <c r="C305" s="2524">
        <v>5590</v>
      </c>
      <c r="D305" s="2524">
        <v>5530</v>
      </c>
      <c r="E305" s="2524">
        <v>6460</v>
      </c>
      <c r="F305" s="2524">
        <v>900</v>
      </c>
      <c r="G305" s="2537">
        <v>3340</v>
      </c>
    </row>
    <row r="306" spans="1:7" s="2513" customFormat="1">
      <c r="A306" s="2524" t="s">
        <v>424</v>
      </c>
      <c r="B306" s="2524" t="s">
        <v>3014</v>
      </c>
      <c r="C306" s="2524">
        <v>5560</v>
      </c>
      <c r="D306" s="2524">
        <v>5510</v>
      </c>
      <c r="E306" s="2524">
        <v>6440</v>
      </c>
      <c r="F306" s="2524">
        <v>900</v>
      </c>
      <c r="G306" s="2537">
        <v>3320</v>
      </c>
    </row>
    <row r="307" spans="1:7" s="2513" customFormat="1">
      <c r="A307" s="2524" t="s">
        <v>424</v>
      </c>
      <c r="B307" s="2524" t="s">
        <v>3015</v>
      </c>
      <c r="C307" s="2524">
        <v>5650</v>
      </c>
      <c r="D307" s="2524">
        <v>5600</v>
      </c>
      <c r="E307" s="2524">
        <v>6590</v>
      </c>
      <c r="F307" s="2524">
        <v>930</v>
      </c>
      <c r="G307" s="2537">
        <v>3380</v>
      </c>
    </row>
    <row r="308" spans="1:7" s="2513" customFormat="1">
      <c r="A308" s="2524" t="s">
        <v>424</v>
      </c>
      <c r="B308" s="2524" t="s">
        <v>395</v>
      </c>
      <c r="C308" s="2524">
        <v>5620</v>
      </c>
      <c r="D308" s="2524">
        <v>5580</v>
      </c>
      <c r="E308" s="2524">
        <v>6540</v>
      </c>
      <c r="F308" s="2524">
        <v>910</v>
      </c>
      <c r="G308" s="2537">
        <v>3370</v>
      </c>
    </row>
    <row r="309" spans="1:7" s="2513" customFormat="1">
      <c r="A309" s="2524" t="s">
        <v>424</v>
      </c>
      <c r="B309" s="2524" t="s">
        <v>397</v>
      </c>
      <c r="C309" s="2524">
        <v>5060</v>
      </c>
      <c r="D309" s="2524">
        <v>5020</v>
      </c>
      <c r="E309" s="2524">
        <v>6370</v>
      </c>
      <c r="F309" s="2524">
        <v>800</v>
      </c>
      <c r="G309" s="2537">
        <v>3020</v>
      </c>
    </row>
    <row r="310" spans="1:7" s="2513" customFormat="1">
      <c r="A310" s="2524" t="s">
        <v>424</v>
      </c>
      <c r="B310" s="2524" t="s">
        <v>3016</v>
      </c>
      <c r="C310" s="2524">
        <v>5150</v>
      </c>
      <c r="D310" s="2524">
        <v>5110</v>
      </c>
      <c r="E310" s="2524">
        <v>6500</v>
      </c>
      <c r="F310" s="2524">
        <v>880</v>
      </c>
      <c r="G310" s="2537">
        <v>3080</v>
      </c>
    </row>
    <row r="311" spans="1:7" s="2513" customFormat="1">
      <c r="A311" s="2524" t="s">
        <v>424</v>
      </c>
      <c r="B311" s="2524" t="s">
        <v>399</v>
      </c>
      <c r="C311" s="2524">
        <v>4750</v>
      </c>
      <c r="D311" s="2524">
        <v>4710</v>
      </c>
      <c r="E311" s="2524">
        <v>5510</v>
      </c>
      <c r="F311" s="2524">
        <v>880</v>
      </c>
      <c r="G311" s="2537">
        <v>2840</v>
      </c>
    </row>
    <row r="312" spans="1:7" s="2513" customFormat="1">
      <c r="A312" s="2524" t="s">
        <v>424</v>
      </c>
      <c r="B312" s="2524" t="s">
        <v>3017</v>
      </c>
      <c r="C312" s="2524">
        <v>4690</v>
      </c>
      <c r="D312" s="2524">
        <v>4640</v>
      </c>
      <c r="E312" s="2524">
        <v>5420</v>
      </c>
      <c r="F312" s="2524">
        <v>800</v>
      </c>
      <c r="G312" s="2537">
        <v>2800</v>
      </c>
    </row>
    <row r="313" spans="1:7" s="2513" customFormat="1">
      <c r="A313" s="2524" t="s">
        <v>424</v>
      </c>
      <c r="B313" s="2524" t="s">
        <v>3018</v>
      </c>
      <c r="C313" s="2524">
        <v>4810</v>
      </c>
      <c r="D313" s="2524">
        <v>4760</v>
      </c>
      <c r="E313" s="2524">
        <v>5550</v>
      </c>
      <c r="F313" s="2524">
        <v>920</v>
      </c>
      <c r="G313" s="2537">
        <v>2870</v>
      </c>
    </row>
    <row r="314" spans="1:7" s="2513" customFormat="1">
      <c r="A314" s="2524" t="s">
        <v>424</v>
      </c>
      <c r="B314" s="2524" t="s">
        <v>402</v>
      </c>
      <c r="C314" s="2524"/>
      <c r="D314" s="2524"/>
      <c r="E314" s="2524"/>
      <c r="F314" s="2524">
        <v>1020</v>
      </c>
      <c r="G314" s="2537"/>
    </row>
    <row r="315" spans="1:7" s="2513" customFormat="1">
      <c r="A315" s="2524" t="s">
        <v>424</v>
      </c>
      <c r="B315" s="2524" t="s">
        <v>401</v>
      </c>
      <c r="C315" s="2524"/>
      <c r="D315" s="2524"/>
      <c r="E315" s="2524"/>
      <c r="F315" s="2524">
        <v>1050</v>
      </c>
      <c r="G315" s="2537"/>
    </row>
    <row r="316" spans="1:7" s="2513" customFormat="1">
      <c r="A316" s="2524" t="s">
        <v>424</v>
      </c>
      <c r="B316" s="2524" t="s">
        <v>406</v>
      </c>
      <c r="C316" s="2524"/>
      <c r="D316" s="2524"/>
      <c r="E316" s="2524"/>
      <c r="F316" s="2524">
        <v>900</v>
      </c>
      <c r="G316" s="2537"/>
    </row>
    <row r="317" spans="1:7" s="2513" customFormat="1">
      <c r="A317" s="2524" t="s">
        <v>424</v>
      </c>
      <c r="B317" s="2524" t="s">
        <v>408</v>
      </c>
      <c r="C317" s="2524"/>
      <c r="D317" s="2524"/>
      <c r="E317" s="2524"/>
      <c r="F317" s="2524">
        <v>920</v>
      </c>
      <c r="G317" s="2537"/>
    </row>
    <row r="318" spans="1:7" s="2513" customFormat="1">
      <c r="A318" s="2524" t="s">
        <v>424</v>
      </c>
      <c r="B318" s="2524" t="s">
        <v>412</v>
      </c>
      <c r="C318" s="2524"/>
      <c r="D318" s="2524"/>
      <c r="E318" s="2524"/>
      <c r="F318" s="2524">
        <v>1080</v>
      </c>
      <c r="G318" s="2537"/>
    </row>
    <row r="319" spans="1:7" s="2513" customFormat="1">
      <c r="A319" s="2524" t="s">
        <v>424</v>
      </c>
      <c r="B319" s="2524" t="s">
        <v>413</v>
      </c>
      <c r="C319" s="2524"/>
      <c r="D319" s="2524"/>
      <c r="E319" s="2524"/>
      <c r="F319" s="2524">
        <v>1020</v>
      </c>
      <c r="G319" s="2537"/>
    </row>
    <row r="320" spans="1:7" s="2513" customFormat="1">
      <c r="A320" s="2524" t="s">
        <v>424</v>
      </c>
      <c r="B320" s="2524" t="s">
        <v>414</v>
      </c>
      <c r="C320" s="2524"/>
      <c r="D320" s="2524"/>
      <c r="E320" s="2524"/>
      <c r="F320" s="2524">
        <v>1050</v>
      </c>
      <c r="G320" s="2537"/>
    </row>
    <row r="321" spans="1:7" s="2513" customFormat="1">
      <c r="A321" s="2524" t="s">
        <v>424</v>
      </c>
      <c r="B321" s="2524" t="s">
        <v>410</v>
      </c>
      <c r="C321" s="2524"/>
      <c r="D321" s="2524"/>
      <c r="E321" s="2524"/>
      <c r="F321" s="2524">
        <v>960</v>
      </c>
      <c r="G321" s="2537"/>
    </row>
    <row r="322" spans="1:7" s="2513" customFormat="1">
      <c r="A322" s="2524" t="s">
        <v>424</v>
      </c>
      <c r="B322" s="2524" t="s">
        <v>411</v>
      </c>
      <c r="C322" s="2524"/>
      <c r="D322" s="2524"/>
      <c r="E322" s="2524"/>
      <c r="F322" s="2524">
        <v>960</v>
      </c>
      <c r="G322" s="2537"/>
    </row>
    <row r="323" spans="1:7" s="2513" customFormat="1">
      <c r="A323" s="2524" t="s">
        <v>424</v>
      </c>
      <c r="B323" s="2524" t="s">
        <v>3019</v>
      </c>
      <c r="C323" s="2524"/>
      <c r="D323" s="2524"/>
      <c r="E323" s="2524"/>
      <c r="F323" s="2524">
        <v>880</v>
      </c>
      <c r="G323" s="2537"/>
    </row>
    <row r="324" spans="1:7" s="2513" customFormat="1">
      <c r="A324" s="2524" t="s">
        <v>424</v>
      </c>
      <c r="B324" s="2524" t="s">
        <v>415</v>
      </c>
      <c r="C324" s="2524"/>
      <c r="D324" s="2524"/>
      <c r="E324" s="2524"/>
      <c r="F324" s="2524">
        <v>930</v>
      </c>
      <c r="G324" s="2537"/>
    </row>
    <row r="325" spans="1:7" s="2513" customFormat="1">
      <c r="A325" s="2524" t="s">
        <v>424</v>
      </c>
      <c r="B325" s="2525" t="s">
        <v>3020</v>
      </c>
      <c r="C325" s="2524"/>
      <c r="D325" s="2524"/>
      <c r="E325" s="2524"/>
      <c r="F325" s="2524">
        <v>900</v>
      </c>
      <c r="G325" s="2537"/>
    </row>
    <row r="326" spans="1:7" s="2513" customFormat="1" ht="12.5" thickBot="1">
      <c r="A326" s="2538" t="s">
        <v>424</v>
      </c>
      <c r="B326" s="2531" t="s">
        <v>3021</v>
      </c>
      <c r="C326" s="2531"/>
      <c r="D326" s="2531"/>
      <c r="E326" s="2531"/>
      <c r="F326" s="2531">
        <v>790</v>
      </c>
      <c r="G326" s="2539"/>
    </row>
    <row r="327" spans="1:7" s="2513" customFormat="1">
      <c r="A327" s="2529" t="s">
        <v>428</v>
      </c>
      <c r="B327" s="2520" t="s">
        <v>429</v>
      </c>
      <c r="C327" s="2524">
        <v>3750</v>
      </c>
      <c r="D327" s="2524">
        <v>3710</v>
      </c>
      <c r="E327" s="2524">
        <v>4080</v>
      </c>
      <c r="F327" s="2524">
        <v>860</v>
      </c>
      <c r="G327" s="2524">
        <v>2210</v>
      </c>
    </row>
    <row r="328" spans="1:7" s="2513" customFormat="1">
      <c r="A328" s="2524" t="s">
        <v>428</v>
      </c>
      <c r="B328" s="2524" t="s">
        <v>168</v>
      </c>
      <c r="C328" s="2524">
        <v>3330</v>
      </c>
      <c r="D328" s="2524">
        <v>3290</v>
      </c>
      <c r="E328" s="2524">
        <v>3610</v>
      </c>
      <c r="F328" s="2524">
        <v>850</v>
      </c>
      <c r="G328" s="2524">
        <v>1960</v>
      </c>
    </row>
    <row r="329" spans="1:7" s="2513" customFormat="1">
      <c r="A329" s="2524" t="s">
        <v>428</v>
      </c>
      <c r="B329" s="2524" t="s">
        <v>430</v>
      </c>
      <c r="C329" s="2524">
        <v>2730</v>
      </c>
      <c r="D329" s="2524">
        <v>2690</v>
      </c>
      <c r="E329" s="2524">
        <v>3100</v>
      </c>
      <c r="F329" s="2524">
        <v>660</v>
      </c>
      <c r="G329" s="2524">
        <v>1610</v>
      </c>
    </row>
    <row r="330" spans="1:7" s="2513" customFormat="1">
      <c r="A330" s="2524" t="s">
        <v>428</v>
      </c>
      <c r="B330" s="2524" t="s">
        <v>194</v>
      </c>
      <c r="C330" s="2524">
        <v>3270</v>
      </c>
      <c r="D330" s="2524">
        <v>3240</v>
      </c>
      <c r="E330" s="2524">
        <v>3560</v>
      </c>
      <c r="F330" s="2524">
        <v>680</v>
      </c>
      <c r="G330" s="2524">
        <v>1940</v>
      </c>
    </row>
    <row r="331" spans="1:7" s="2513" customFormat="1">
      <c r="A331" s="2524" t="s">
        <v>428</v>
      </c>
      <c r="B331" s="2524" t="s">
        <v>205</v>
      </c>
      <c r="C331" s="2524">
        <v>3770</v>
      </c>
      <c r="D331" s="2524">
        <v>3740</v>
      </c>
      <c r="E331" s="2524">
        <v>4110</v>
      </c>
      <c r="F331" s="2524">
        <v>730</v>
      </c>
      <c r="G331" s="2524">
        <v>2230</v>
      </c>
    </row>
    <row r="332" spans="1:7" s="2513" customFormat="1">
      <c r="A332" s="2524" t="s">
        <v>428</v>
      </c>
      <c r="B332" s="2524" t="s">
        <v>3022</v>
      </c>
      <c r="C332" s="2524">
        <v>3520</v>
      </c>
      <c r="D332" s="2524">
        <v>3480</v>
      </c>
      <c r="E332" s="2524">
        <v>3830</v>
      </c>
      <c r="F332" s="2524">
        <v>720</v>
      </c>
      <c r="G332" s="2524">
        <v>2090</v>
      </c>
    </row>
    <row r="333" spans="1:7" s="2513" customFormat="1">
      <c r="A333" s="2524" t="s">
        <v>428</v>
      </c>
      <c r="B333" s="2524" t="s">
        <v>224</v>
      </c>
      <c r="C333" s="2524">
        <v>3840</v>
      </c>
      <c r="D333" s="2524">
        <v>3800</v>
      </c>
      <c r="E333" s="2524">
        <v>4200</v>
      </c>
      <c r="F333" s="2524">
        <v>760</v>
      </c>
      <c r="G333" s="2524">
        <v>2270</v>
      </c>
    </row>
    <row r="334" spans="1:7" s="2513" customFormat="1">
      <c r="A334" s="2524" t="s">
        <v>428</v>
      </c>
      <c r="B334" s="2524" t="s">
        <v>234</v>
      </c>
      <c r="C334" s="2524">
        <v>3960</v>
      </c>
      <c r="D334" s="2524">
        <v>3910</v>
      </c>
      <c r="E334" s="2524">
        <v>4340</v>
      </c>
      <c r="F334" s="2524">
        <v>780</v>
      </c>
      <c r="G334" s="2524">
        <v>2340</v>
      </c>
    </row>
    <row r="335" spans="1:7" s="2513" customFormat="1">
      <c r="A335" s="2524" t="s">
        <v>428</v>
      </c>
      <c r="B335" s="2524" t="s">
        <v>244</v>
      </c>
      <c r="C335" s="2524">
        <v>3710</v>
      </c>
      <c r="D335" s="2524">
        <v>3670</v>
      </c>
      <c r="E335" s="2524">
        <v>4030</v>
      </c>
      <c r="F335" s="2524">
        <v>750</v>
      </c>
      <c r="G335" s="2524">
        <v>2200</v>
      </c>
    </row>
    <row r="336" spans="1:7" s="2513" customFormat="1">
      <c r="A336" s="2524" t="s">
        <v>428</v>
      </c>
      <c r="B336" s="2524" t="s">
        <v>3023</v>
      </c>
      <c r="C336" s="2524">
        <v>3570</v>
      </c>
      <c r="D336" s="2524">
        <v>3530</v>
      </c>
      <c r="E336" s="2524">
        <v>3880</v>
      </c>
      <c r="F336" s="2524">
        <v>770</v>
      </c>
      <c r="G336" s="2524">
        <v>2110</v>
      </c>
    </row>
    <row r="337" spans="1:10" s="2513" customFormat="1">
      <c r="A337" s="2524" t="s">
        <v>428</v>
      </c>
      <c r="B337" s="2524" t="s">
        <v>270</v>
      </c>
      <c r="C337" s="2524">
        <v>3780</v>
      </c>
      <c r="D337" s="2524">
        <v>3750</v>
      </c>
      <c r="E337" s="2524">
        <v>4130</v>
      </c>
      <c r="F337" s="2524">
        <v>750</v>
      </c>
      <c r="G337" s="2524">
        <v>2240</v>
      </c>
    </row>
    <row r="338" spans="1:10" s="2513" customFormat="1">
      <c r="A338" s="2524" t="s">
        <v>428</v>
      </c>
      <c r="B338" s="2524" t="s">
        <v>278</v>
      </c>
      <c r="C338" s="2524">
        <v>3600</v>
      </c>
      <c r="D338" s="2524">
        <v>3570</v>
      </c>
      <c r="E338" s="2524">
        <v>3920</v>
      </c>
      <c r="F338" s="2524">
        <v>790</v>
      </c>
      <c r="G338" s="2524">
        <v>2140</v>
      </c>
    </row>
    <row r="339" spans="1:10" s="2513" customFormat="1">
      <c r="A339" s="2524" t="s">
        <v>428</v>
      </c>
      <c r="B339" s="2524" t="s">
        <v>288</v>
      </c>
      <c r="C339" s="2524">
        <v>3540</v>
      </c>
      <c r="D339" s="2524">
        <v>3500</v>
      </c>
      <c r="E339" s="2524">
        <v>3850</v>
      </c>
      <c r="F339" s="2524">
        <v>780</v>
      </c>
      <c r="G339" s="2524">
        <v>2100</v>
      </c>
    </row>
    <row r="340" spans="1:10" s="2513" customFormat="1">
      <c r="A340" s="2524" t="s">
        <v>428</v>
      </c>
      <c r="B340" s="2524" t="s">
        <v>253</v>
      </c>
      <c r="C340" s="2524">
        <v>3850</v>
      </c>
      <c r="D340" s="2524">
        <v>3810</v>
      </c>
      <c r="E340" s="2524">
        <v>4210</v>
      </c>
      <c r="F340" s="2524">
        <v>750</v>
      </c>
      <c r="G340" s="2524">
        <v>2280</v>
      </c>
    </row>
    <row r="341" spans="1:10" s="2513" customFormat="1">
      <c r="A341" s="2524" t="s">
        <v>428</v>
      </c>
      <c r="B341" s="2524" t="s">
        <v>261</v>
      </c>
      <c r="C341" s="2524">
        <v>3780</v>
      </c>
      <c r="D341" s="2524">
        <v>3750</v>
      </c>
      <c r="E341" s="2524">
        <v>4140</v>
      </c>
      <c r="F341" s="2524">
        <v>720</v>
      </c>
      <c r="G341" s="2524">
        <v>2240</v>
      </c>
    </row>
    <row r="342" spans="1:10" s="2513" customFormat="1">
      <c r="A342" s="2524" t="s">
        <v>428</v>
      </c>
      <c r="B342" s="2524" t="s">
        <v>317</v>
      </c>
      <c r="C342" s="2524">
        <v>3670</v>
      </c>
      <c r="D342" s="2524">
        <v>3620</v>
      </c>
      <c r="E342" s="2524">
        <v>3990</v>
      </c>
      <c r="F342" s="2524">
        <v>760</v>
      </c>
      <c r="G342" s="2524">
        <v>2170</v>
      </c>
    </row>
    <row r="343" spans="1:10" s="2513" customFormat="1">
      <c r="A343" s="2524" t="s">
        <v>428</v>
      </c>
      <c r="B343" s="2524" t="s">
        <v>326</v>
      </c>
      <c r="C343" s="2524">
        <v>3760</v>
      </c>
      <c r="D343" s="2524">
        <v>3720</v>
      </c>
      <c r="E343" s="2524">
        <v>4090</v>
      </c>
      <c r="F343" s="2524">
        <v>780</v>
      </c>
      <c r="G343" s="2524">
        <v>2220</v>
      </c>
    </row>
    <row r="344" spans="1:10" s="2513" customFormat="1">
      <c r="A344" s="2524" t="s">
        <v>428</v>
      </c>
      <c r="B344" s="2524" t="s">
        <v>334</v>
      </c>
      <c r="C344" s="2524">
        <v>3680</v>
      </c>
      <c r="D344" s="2524">
        <v>3640</v>
      </c>
      <c r="E344" s="2524">
        <v>4010</v>
      </c>
      <c r="F344" s="2524">
        <v>750</v>
      </c>
      <c r="G344" s="2524">
        <v>2180</v>
      </c>
    </row>
    <row r="345" spans="1:10">
      <c r="A345" s="2524" t="s">
        <v>428</v>
      </c>
      <c r="B345" s="2524" t="s">
        <v>3024</v>
      </c>
      <c r="C345" s="2524">
        <v>3190</v>
      </c>
      <c r="D345" s="2524">
        <v>3140</v>
      </c>
      <c r="E345" s="2524">
        <v>3450</v>
      </c>
      <c r="F345" s="2524">
        <v>720</v>
      </c>
      <c r="G345" s="2524">
        <v>1880</v>
      </c>
      <c r="J345" s="2513"/>
    </row>
    <row r="346" spans="1:10">
      <c r="A346" s="2524" t="s">
        <v>428</v>
      </c>
      <c r="B346" s="2524" t="s">
        <v>3025</v>
      </c>
      <c r="C346" s="2524">
        <v>3630</v>
      </c>
      <c r="D346" s="2524">
        <v>3590</v>
      </c>
      <c r="E346" s="2524">
        <v>3940</v>
      </c>
      <c r="F346" s="2524">
        <v>730</v>
      </c>
      <c r="G346" s="2524">
        <v>2150</v>
      </c>
      <c r="J346" s="2513"/>
    </row>
    <row r="347" spans="1:10">
      <c r="A347" s="2524" t="s">
        <v>428</v>
      </c>
      <c r="B347" s="2524" t="s">
        <v>308</v>
      </c>
      <c r="C347" s="2524">
        <v>3860</v>
      </c>
      <c r="D347" s="2524">
        <v>3820</v>
      </c>
      <c r="E347" s="2524">
        <v>4220</v>
      </c>
      <c r="F347" s="2524">
        <v>750</v>
      </c>
      <c r="G347" s="2524">
        <v>2280</v>
      </c>
      <c r="J347" s="2513"/>
    </row>
    <row r="348" spans="1:10">
      <c r="A348" s="2524" t="s">
        <v>428</v>
      </c>
      <c r="B348" s="2524" t="s">
        <v>3026</v>
      </c>
      <c r="C348" s="2524">
        <v>4000</v>
      </c>
      <c r="D348" s="2524">
        <v>3950</v>
      </c>
      <c r="E348" s="2524">
        <v>4430</v>
      </c>
      <c r="F348" s="2524">
        <v>760</v>
      </c>
      <c r="G348" s="2524">
        <v>2360</v>
      </c>
      <c r="J348" s="2513"/>
    </row>
    <row r="349" spans="1:10">
      <c r="A349" s="2524" t="s">
        <v>428</v>
      </c>
      <c r="B349" s="2524" t="s">
        <v>3027</v>
      </c>
      <c r="C349" s="2524">
        <v>3820</v>
      </c>
      <c r="D349" s="2524">
        <v>3780</v>
      </c>
      <c r="E349" s="2524">
        <v>4170</v>
      </c>
      <c r="F349" s="2524">
        <v>710</v>
      </c>
      <c r="G349" s="2524">
        <v>2260</v>
      </c>
      <c r="J349" s="2513"/>
    </row>
    <row r="350" spans="1:10">
      <c r="A350" s="2524" t="s">
        <v>428</v>
      </c>
      <c r="B350" s="2524" t="s">
        <v>3028</v>
      </c>
      <c r="C350" s="2524">
        <v>3760</v>
      </c>
      <c r="D350" s="2524">
        <v>3730</v>
      </c>
      <c r="E350" s="2524">
        <v>4100</v>
      </c>
      <c r="F350" s="2524">
        <v>800</v>
      </c>
      <c r="G350" s="2524">
        <v>2230</v>
      </c>
      <c r="J350" s="2513"/>
    </row>
    <row r="351" spans="1:10">
      <c r="A351" s="2524" t="s">
        <v>428</v>
      </c>
      <c r="B351" s="2524" t="s">
        <v>3029</v>
      </c>
      <c r="C351" s="2524">
        <v>3610</v>
      </c>
      <c r="D351" s="2524">
        <v>3580</v>
      </c>
      <c r="E351" s="2524">
        <v>3930</v>
      </c>
      <c r="F351" s="2524">
        <v>700</v>
      </c>
      <c r="G351" s="2524">
        <v>2140</v>
      </c>
      <c r="J351" s="2513"/>
    </row>
    <row r="352" spans="1:10">
      <c r="A352" s="2524" t="s">
        <v>428</v>
      </c>
      <c r="B352" s="2524" t="s">
        <v>3030</v>
      </c>
      <c r="C352" s="2524">
        <v>3670</v>
      </c>
      <c r="D352" s="2524">
        <v>3630</v>
      </c>
      <c r="E352" s="2524">
        <v>4000</v>
      </c>
      <c r="F352" s="2524">
        <v>750</v>
      </c>
      <c r="G352" s="2524">
        <v>2180</v>
      </c>
    </row>
    <row r="353" spans="1:7">
      <c r="A353" s="2524" t="s">
        <v>428</v>
      </c>
      <c r="B353" s="2524" t="s">
        <v>349</v>
      </c>
      <c r="C353" s="2524">
        <v>3190</v>
      </c>
      <c r="D353" s="2524">
        <v>3150</v>
      </c>
      <c r="E353" s="2524">
        <v>3640</v>
      </c>
      <c r="F353" s="2524">
        <v>630</v>
      </c>
      <c r="G353" s="2524">
        <v>1890</v>
      </c>
    </row>
    <row r="354" spans="1:7">
      <c r="A354" s="2524" t="s">
        <v>428</v>
      </c>
      <c r="B354" s="2524" t="s">
        <v>354</v>
      </c>
      <c r="C354" s="2524">
        <v>3450</v>
      </c>
      <c r="D354" s="2524">
        <v>3420</v>
      </c>
      <c r="E354" s="2524">
        <v>3960</v>
      </c>
      <c r="F354" s="2524">
        <v>660</v>
      </c>
      <c r="G354" s="2524">
        <v>2050</v>
      </c>
    </row>
    <row r="355" spans="1:7">
      <c r="A355" s="2524" t="s">
        <v>428</v>
      </c>
      <c r="B355" s="2524" t="s">
        <v>3031</v>
      </c>
      <c r="C355" s="2524">
        <v>3650</v>
      </c>
      <c r="D355" s="2524">
        <v>3610</v>
      </c>
      <c r="E355" s="2524">
        <v>4200</v>
      </c>
      <c r="F355" s="2524">
        <v>640</v>
      </c>
      <c r="G355" s="2524">
        <v>2160</v>
      </c>
    </row>
    <row r="356" spans="1:7">
      <c r="A356" s="2524" t="s">
        <v>428</v>
      </c>
      <c r="B356" s="2524" t="s">
        <v>3032</v>
      </c>
      <c r="C356" s="2524">
        <v>3260</v>
      </c>
      <c r="D356" s="2524">
        <v>3230</v>
      </c>
      <c r="E356" s="2524">
        <v>3740</v>
      </c>
      <c r="F356" s="2524">
        <v>600</v>
      </c>
      <c r="G356" s="2524">
        <v>1930</v>
      </c>
    </row>
    <row r="357" spans="1:7" ht="12.5" thickBot="1">
      <c r="A357" s="2532" t="s">
        <v>428</v>
      </c>
      <c r="B357" s="2535" t="s">
        <v>359</v>
      </c>
      <c r="C357" s="2535">
        <v>3690</v>
      </c>
      <c r="D357" s="2535">
        <v>3650</v>
      </c>
      <c r="E357" s="2535">
        <v>4020</v>
      </c>
      <c r="F357" s="2535">
        <v>700</v>
      </c>
      <c r="G357" s="2535">
        <v>2190</v>
      </c>
    </row>
    <row r="358" spans="1:7">
      <c r="A358" s="2529" t="s">
        <v>280</v>
      </c>
      <c r="B358" s="2520" t="s">
        <v>431</v>
      </c>
      <c r="C358" s="2520">
        <v>2080</v>
      </c>
      <c r="D358" s="2520">
        <v>2040</v>
      </c>
      <c r="E358" s="2520">
        <v>2010</v>
      </c>
      <c r="F358" s="2520">
        <v>530</v>
      </c>
      <c r="G358" s="2536">
        <v>1230</v>
      </c>
    </row>
    <row r="359" spans="1:7">
      <c r="A359" s="2524" t="s">
        <v>280</v>
      </c>
      <c r="B359" s="2524" t="s">
        <v>432</v>
      </c>
      <c r="C359" s="2524">
        <v>1850</v>
      </c>
      <c r="D359" s="2524">
        <v>1820</v>
      </c>
      <c r="E359" s="2524">
        <v>1780</v>
      </c>
      <c r="F359" s="2524">
        <v>520</v>
      </c>
      <c r="G359" s="2537">
        <v>1100</v>
      </c>
    </row>
    <row r="360" spans="1:7">
      <c r="A360" s="2524" t="s">
        <v>280</v>
      </c>
      <c r="B360" s="2524" t="s">
        <v>433</v>
      </c>
      <c r="C360" s="2524">
        <v>2020</v>
      </c>
      <c r="D360" s="2524">
        <v>1990</v>
      </c>
      <c r="E360" s="2524">
        <v>1950</v>
      </c>
      <c r="F360" s="2524">
        <v>500</v>
      </c>
      <c r="G360" s="2537">
        <v>1200</v>
      </c>
    </row>
    <row r="361" spans="1:7">
      <c r="A361" s="2524" t="s">
        <v>280</v>
      </c>
      <c r="B361" s="2524" t="s">
        <v>195</v>
      </c>
      <c r="C361" s="2524">
        <v>2260</v>
      </c>
      <c r="D361" s="2524">
        <v>2220</v>
      </c>
      <c r="E361" s="2524">
        <v>2180</v>
      </c>
      <c r="F361" s="2524">
        <v>580</v>
      </c>
      <c r="G361" s="2537">
        <v>1340</v>
      </c>
    </row>
    <row r="362" spans="1:7">
      <c r="A362" s="2524" t="s">
        <v>280</v>
      </c>
      <c r="B362" s="2524" t="s">
        <v>214</v>
      </c>
      <c r="C362" s="2524">
        <v>2650</v>
      </c>
      <c r="D362" s="2524">
        <v>2610</v>
      </c>
      <c r="E362" s="2524">
        <v>2570</v>
      </c>
      <c r="F362" s="2524">
        <v>630</v>
      </c>
      <c r="G362" s="2537">
        <v>1570</v>
      </c>
    </row>
    <row r="363" spans="1:7">
      <c r="A363" s="2524" t="s">
        <v>141</v>
      </c>
      <c r="B363" s="2524" t="s">
        <v>3033</v>
      </c>
      <c r="C363" s="2524">
        <v>2390</v>
      </c>
      <c r="D363" s="2524">
        <v>2360</v>
      </c>
      <c r="E363" s="2524">
        <v>2320</v>
      </c>
      <c r="F363" s="2524">
        <v>600</v>
      </c>
      <c r="G363" s="2537">
        <v>1420</v>
      </c>
    </row>
    <row r="364" spans="1:7">
      <c r="A364" s="2524" t="s">
        <v>141</v>
      </c>
      <c r="B364" s="2524" t="s">
        <v>245</v>
      </c>
      <c r="C364" s="2524">
        <v>2050</v>
      </c>
      <c r="D364" s="2524">
        <v>2030</v>
      </c>
      <c r="E364" s="2524">
        <v>1990</v>
      </c>
      <c r="F364" s="2524">
        <v>550</v>
      </c>
      <c r="G364" s="2537">
        <v>1220</v>
      </c>
    </row>
    <row r="365" spans="1:7">
      <c r="A365" s="2524" t="s">
        <v>141</v>
      </c>
      <c r="B365" s="2524" t="s">
        <v>254</v>
      </c>
      <c r="C365" s="2524">
        <v>2140</v>
      </c>
      <c r="D365" s="2524">
        <v>2100</v>
      </c>
      <c r="E365" s="2524">
        <v>2060</v>
      </c>
      <c r="F365" s="2524">
        <v>540</v>
      </c>
      <c r="G365" s="2537">
        <v>1270</v>
      </c>
    </row>
    <row r="366" spans="1:7">
      <c r="A366" s="2524" t="s">
        <v>141</v>
      </c>
      <c r="B366" s="2524" t="s">
        <v>3034</v>
      </c>
      <c r="C366" s="2524">
        <v>2410</v>
      </c>
      <c r="D366" s="2524">
        <v>2370</v>
      </c>
      <c r="E366" s="2524">
        <v>2330</v>
      </c>
      <c r="F366" s="2524">
        <v>570</v>
      </c>
      <c r="G366" s="2537">
        <v>1440</v>
      </c>
    </row>
    <row r="367" spans="1:7">
      <c r="A367" s="2524" t="s">
        <v>280</v>
      </c>
      <c r="B367" s="2524" t="s">
        <v>299</v>
      </c>
      <c r="C367" s="2524">
        <v>2300</v>
      </c>
      <c r="D367" s="2524">
        <v>2260</v>
      </c>
      <c r="E367" s="2524">
        <v>2220</v>
      </c>
      <c r="F367" s="2524">
        <v>560</v>
      </c>
      <c r="G367" s="2537">
        <v>1370</v>
      </c>
    </row>
    <row r="368" spans="1:7">
      <c r="A368" s="2524" t="s">
        <v>280</v>
      </c>
      <c r="B368" s="2524" t="s">
        <v>262</v>
      </c>
      <c r="C368" s="2524">
        <v>2430</v>
      </c>
      <c r="D368" s="2524">
        <v>2390</v>
      </c>
      <c r="E368" s="2524">
        <v>2350</v>
      </c>
      <c r="F368" s="2524">
        <v>570</v>
      </c>
      <c r="G368" s="2537">
        <v>1450</v>
      </c>
    </row>
    <row r="369" spans="1:7">
      <c r="A369" s="2524" t="s">
        <v>280</v>
      </c>
      <c r="B369" s="2524" t="s">
        <v>271</v>
      </c>
      <c r="C369" s="2524">
        <v>2320</v>
      </c>
      <c r="D369" s="2524">
        <v>2290</v>
      </c>
      <c r="E369" s="2524">
        <v>2250</v>
      </c>
      <c r="F369" s="2524">
        <v>550</v>
      </c>
      <c r="G369" s="2537">
        <v>1380</v>
      </c>
    </row>
    <row r="370" spans="1:7">
      <c r="A370" s="2524" t="s">
        <v>280</v>
      </c>
      <c r="B370" s="2524" t="s">
        <v>279</v>
      </c>
      <c r="C370" s="2524">
        <v>2190</v>
      </c>
      <c r="D370" s="2524">
        <v>2170</v>
      </c>
      <c r="E370" s="2524">
        <v>2130</v>
      </c>
      <c r="F370" s="2524">
        <v>530</v>
      </c>
      <c r="G370" s="2537">
        <v>1310</v>
      </c>
    </row>
    <row r="371" spans="1:7">
      <c r="A371" s="2524" t="s">
        <v>280</v>
      </c>
      <c r="B371" s="2524" t="s">
        <v>289</v>
      </c>
      <c r="C371" s="2524">
        <v>2460</v>
      </c>
      <c r="D371" s="2524">
        <v>2420</v>
      </c>
      <c r="E371" s="2524">
        <v>2370</v>
      </c>
      <c r="F371" s="2524">
        <v>560</v>
      </c>
      <c r="G371" s="2537">
        <v>1470</v>
      </c>
    </row>
    <row r="372" spans="1:7">
      <c r="A372" s="2524" t="s">
        <v>280</v>
      </c>
      <c r="B372" s="2524" t="s">
        <v>318</v>
      </c>
      <c r="C372" s="2524">
        <v>2250</v>
      </c>
      <c r="D372" s="2524">
        <v>2210</v>
      </c>
      <c r="E372" s="2524">
        <v>2180</v>
      </c>
      <c r="F372" s="2524">
        <v>550</v>
      </c>
      <c r="G372" s="2537">
        <v>1340</v>
      </c>
    </row>
    <row r="373" spans="1:7">
      <c r="A373" s="2524" t="s">
        <v>280</v>
      </c>
      <c r="B373" s="2524" t="s">
        <v>327</v>
      </c>
      <c r="C373" s="2524">
        <v>2210</v>
      </c>
      <c r="D373" s="2524">
        <v>2190</v>
      </c>
      <c r="E373" s="2524">
        <v>2150</v>
      </c>
      <c r="F373" s="2524">
        <v>530</v>
      </c>
      <c r="G373" s="2537">
        <v>1320</v>
      </c>
    </row>
    <row r="374" spans="1:7">
      <c r="A374" s="2524" t="s">
        <v>280</v>
      </c>
      <c r="B374" s="2524" t="s">
        <v>335</v>
      </c>
      <c r="C374" s="2524">
        <v>2320</v>
      </c>
      <c r="D374" s="2524">
        <v>2280</v>
      </c>
      <c r="E374" s="2524">
        <v>2230</v>
      </c>
      <c r="F374" s="2524">
        <v>580</v>
      </c>
      <c r="G374" s="2537">
        <v>1380</v>
      </c>
    </row>
    <row r="375" spans="1:7">
      <c r="A375" s="2524" t="s">
        <v>280</v>
      </c>
      <c r="B375" s="2524" t="s">
        <v>342</v>
      </c>
      <c r="C375" s="2524">
        <v>2090</v>
      </c>
      <c r="D375" s="2524">
        <v>2050</v>
      </c>
      <c r="E375" s="2524">
        <v>2020</v>
      </c>
      <c r="F375" s="2524">
        <v>520</v>
      </c>
      <c r="G375" s="2537">
        <v>1240</v>
      </c>
    </row>
    <row r="376" spans="1:7">
      <c r="A376" s="2524" t="s">
        <v>280</v>
      </c>
      <c r="B376" s="2524" t="s">
        <v>350</v>
      </c>
      <c r="C376" s="2524">
        <v>2010</v>
      </c>
      <c r="D376" s="2524">
        <v>1980</v>
      </c>
      <c r="E376" s="2524">
        <v>1940</v>
      </c>
      <c r="F376" s="2524">
        <v>540</v>
      </c>
      <c r="G376" s="2537">
        <v>1190</v>
      </c>
    </row>
    <row r="377" spans="1:7" ht="12.5" thickBot="1">
      <c r="A377" s="2532" t="s">
        <v>280</v>
      </c>
      <c r="B377" s="2535" t="s">
        <v>3035</v>
      </c>
      <c r="C377" s="2535">
        <v>1930</v>
      </c>
      <c r="D377" s="2535">
        <v>1890</v>
      </c>
      <c r="E377" s="2535">
        <v>1860</v>
      </c>
      <c r="F377" s="2535">
        <v>530</v>
      </c>
      <c r="G377" s="2540">
        <v>1150</v>
      </c>
    </row>
    <row r="378" spans="1:7">
      <c r="A378" s="2541" t="s">
        <v>290</v>
      </c>
      <c r="B378" s="2520" t="s">
        <v>434</v>
      </c>
      <c r="C378" s="2520">
        <v>1520</v>
      </c>
      <c r="D378" s="2520">
        <v>1490</v>
      </c>
      <c r="E378" s="2520">
        <v>1460</v>
      </c>
      <c r="F378" s="2520">
        <v>460</v>
      </c>
      <c r="G378" s="2536">
        <v>940</v>
      </c>
    </row>
    <row r="379" spans="1:7">
      <c r="A379" s="2542" t="s">
        <v>290</v>
      </c>
      <c r="B379" s="2524" t="s">
        <v>435</v>
      </c>
      <c r="C379" s="2524">
        <v>1500</v>
      </c>
      <c r="D379" s="2524">
        <v>1470</v>
      </c>
      <c r="E379" s="2524">
        <v>1430</v>
      </c>
      <c r="F379" s="2524">
        <v>460</v>
      </c>
      <c r="G379" s="2537">
        <v>920</v>
      </c>
    </row>
    <row r="380" spans="1:7">
      <c r="A380" s="2542" t="s">
        <v>290</v>
      </c>
      <c r="B380" s="2524" t="s">
        <v>436</v>
      </c>
      <c r="C380" s="2524">
        <v>1620</v>
      </c>
      <c r="D380" s="2524">
        <v>1590</v>
      </c>
      <c r="E380" s="2524">
        <v>1560</v>
      </c>
      <c r="F380" s="2524">
        <v>480</v>
      </c>
      <c r="G380" s="2537">
        <v>1000</v>
      </c>
    </row>
    <row r="381" spans="1:7">
      <c r="A381" s="2542" t="s">
        <v>290</v>
      </c>
      <c r="B381" s="2524" t="s">
        <v>3036</v>
      </c>
      <c r="C381" s="2524">
        <v>1460</v>
      </c>
      <c r="D381" s="2524">
        <v>1430</v>
      </c>
      <c r="E381" s="2524">
        <v>1390</v>
      </c>
      <c r="F381" s="2524">
        <v>450</v>
      </c>
      <c r="G381" s="2537">
        <v>900</v>
      </c>
    </row>
    <row r="382" spans="1:7">
      <c r="A382" s="2542" t="s">
        <v>290</v>
      </c>
      <c r="B382" s="2524" t="s">
        <v>3037</v>
      </c>
      <c r="C382" s="2524">
        <v>1310</v>
      </c>
      <c r="D382" s="2524">
        <v>1280</v>
      </c>
      <c r="E382" s="2524">
        <v>1250</v>
      </c>
      <c r="F382" s="2524">
        <v>440</v>
      </c>
      <c r="G382" s="2537">
        <v>800</v>
      </c>
    </row>
    <row r="383" spans="1:7">
      <c r="A383" s="2542" t="s">
        <v>290</v>
      </c>
      <c r="B383" s="2524" t="s">
        <v>215</v>
      </c>
      <c r="C383" s="2524">
        <v>1260</v>
      </c>
      <c r="D383" s="2524">
        <v>1230</v>
      </c>
      <c r="E383" s="2524">
        <v>1200</v>
      </c>
      <c r="F383" s="2524">
        <v>420</v>
      </c>
      <c r="G383" s="2537">
        <v>770</v>
      </c>
    </row>
    <row r="384" spans="1:7" ht="12.5" thickBot="1">
      <c r="A384" s="2543" t="s">
        <v>142</v>
      </c>
      <c r="B384" s="2531" t="s">
        <v>225</v>
      </c>
      <c r="C384" s="2531">
        <v>1170</v>
      </c>
      <c r="D384" s="2531">
        <v>1140</v>
      </c>
      <c r="E384" s="2531">
        <v>1120</v>
      </c>
      <c r="F384" s="2531">
        <v>400</v>
      </c>
      <c r="G384" s="253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90625" defaultRowHeight="14"/>
  <cols>
    <col min="1" max="1" width="12.6328125" style="369" customWidth="1"/>
    <col min="2" max="2" width="20" style="369" customWidth="1"/>
    <col min="3" max="7" width="8.90625" style="369"/>
    <col min="8" max="16384" width="8.90625" style="360"/>
  </cols>
  <sheetData>
    <row r="1" spans="1:7">
      <c r="A1" s="3179" t="s">
        <v>601</v>
      </c>
      <c r="B1" s="3179"/>
    </row>
    <row r="2" spans="1:7" ht="14.5" thickBot="1">
      <c r="A2" s="377"/>
      <c r="B2" s="377"/>
    </row>
    <row r="3" spans="1:7" ht="14.5" thickBot="1">
      <c r="A3" s="377"/>
      <c r="B3" s="377"/>
      <c r="C3" s="361" t="s">
        <v>604</v>
      </c>
      <c r="D3" s="361" t="s">
        <v>605</v>
      </c>
      <c r="E3" s="361" t="s">
        <v>606</v>
      </c>
      <c r="F3" s="361" t="s">
        <v>158</v>
      </c>
      <c r="G3" s="361" t="s">
        <v>2710</v>
      </c>
    </row>
    <row r="4" spans="1:7" ht="14.5" thickBot="1">
      <c r="A4" s="362" t="s">
        <v>602</v>
      </c>
      <c r="B4" s="363" t="s">
        <v>603</v>
      </c>
      <c r="C4" s="361"/>
      <c r="D4" s="361"/>
      <c r="E4" s="361"/>
      <c r="F4" s="361"/>
      <c r="G4" s="361"/>
    </row>
    <row r="5" spans="1:7">
      <c r="A5" s="370" t="s">
        <v>607</v>
      </c>
      <c r="B5" s="364" t="s">
        <v>3040</v>
      </c>
      <c r="C5" s="378">
        <v>9.8000000000000004E-2</v>
      </c>
      <c r="D5" s="378">
        <v>8.6999999999999994E-2</v>
      </c>
      <c r="E5" s="378">
        <v>8.6999999999999994E-2</v>
      </c>
      <c r="F5" s="378">
        <v>9.8000000000000004E-2</v>
      </c>
      <c r="G5" s="379">
        <v>9.5000000000000001E-2</v>
      </c>
    </row>
    <row r="6" spans="1:7">
      <c r="A6" s="371" t="s">
        <v>184</v>
      </c>
      <c r="B6" s="365" t="s">
        <v>3041</v>
      </c>
      <c r="C6" s="380">
        <v>9.8000000000000004E-2</v>
      </c>
      <c r="D6" s="380">
        <v>9.8000000000000004E-2</v>
      </c>
      <c r="E6" s="380">
        <v>9.8000000000000004E-2</v>
      </c>
      <c r="F6" s="380">
        <v>0.1</v>
      </c>
      <c r="G6" s="381">
        <v>9.9000000000000005E-2</v>
      </c>
    </row>
    <row r="7" spans="1:7">
      <c r="A7" s="371" t="s">
        <v>184</v>
      </c>
      <c r="B7" s="365" t="s">
        <v>173</v>
      </c>
      <c r="C7" s="380">
        <v>9.7000000000000003E-2</v>
      </c>
      <c r="D7" s="380">
        <v>9.7000000000000003E-2</v>
      </c>
      <c r="E7" s="380">
        <v>9.6000000000000002E-2</v>
      </c>
      <c r="F7" s="380">
        <v>0.1</v>
      </c>
      <c r="G7" s="381">
        <v>9.8000000000000004E-2</v>
      </c>
    </row>
    <row r="8" spans="1:7">
      <c r="A8" s="371" t="s">
        <v>184</v>
      </c>
      <c r="B8" s="365" t="s">
        <v>185</v>
      </c>
      <c r="C8" s="380">
        <v>8.1000000000000003E-2</v>
      </c>
      <c r="D8" s="380">
        <v>8.2000000000000003E-2</v>
      </c>
      <c r="E8" s="380">
        <v>7.0000000000000007E-2</v>
      </c>
      <c r="F8" s="380">
        <v>9.6000000000000002E-2</v>
      </c>
      <c r="G8" s="381">
        <v>8.8999999999999996E-2</v>
      </c>
    </row>
    <row r="9" spans="1:7" ht="14.5" thickBot="1">
      <c r="A9" s="372" t="s">
        <v>184</v>
      </c>
      <c r="B9" s="367" t="s">
        <v>196</v>
      </c>
      <c r="C9" s="382">
        <v>0.1</v>
      </c>
      <c r="D9" s="382">
        <v>0.1</v>
      </c>
      <c r="E9" s="382">
        <v>0.1</v>
      </c>
      <c r="F9" s="383"/>
      <c r="G9" s="384">
        <v>0.1</v>
      </c>
    </row>
    <row r="10" spans="1:7">
      <c r="A10" s="370" t="s">
        <v>235</v>
      </c>
      <c r="B10" s="364" t="s">
        <v>3042</v>
      </c>
      <c r="C10" s="378">
        <v>6.7000000000000004E-2</v>
      </c>
      <c r="D10" s="378">
        <v>7.9000000000000001E-2</v>
      </c>
      <c r="E10" s="378">
        <v>7.9000000000000001E-2</v>
      </c>
      <c r="F10" s="378">
        <v>0.1</v>
      </c>
      <c r="G10" s="379">
        <v>9.0999999999999998E-2</v>
      </c>
    </row>
    <row r="11" spans="1:7">
      <c r="A11" s="371" t="s">
        <v>235</v>
      </c>
      <c r="B11" s="365" t="s">
        <v>160</v>
      </c>
      <c r="C11" s="380">
        <v>0.05</v>
      </c>
      <c r="D11" s="380">
        <v>5.2999999999999999E-2</v>
      </c>
      <c r="E11" s="380">
        <v>6.3E-2</v>
      </c>
      <c r="F11" s="380">
        <v>0.1</v>
      </c>
      <c r="G11" s="381">
        <v>7.1999999999999995E-2</v>
      </c>
    </row>
    <row r="12" spans="1:7">
      <c r="A12" s="371" t="s">
        <v>235</v>
      </c>
      <c r="B12" s="365" t="s">
        <v>114</v>
      </c>
      <c r="C12" s="380">
        <v>5.2999999999999999E-2</v>
      </c>
      <c r="D12" s="380">
        <v>0.09</v>
      </c>
      <c r="E12" s="380">
        <v>7.1999999999999995E-2</v>
      </c>
      <c r="F12" s="380">
        <v>0.1</v>
      </c>
      <c r="G12" s="381">
        <v>9.7000000000000003E-2</v>
      </c>
    </row>
    <row r="13" spans="1:7">
      <c r="A13" s="371" t="s">
        <v>235</v>
      </c>
      <c r="B13" s="365" t="s">
        <v>186</v>
      </c>
      <c r="C13" s="380">
        <v>9.7000000000000003E-2</v>
      </c>
      <c r="D13" s="380">
        <v>9.1999999999999998E-2</v>
      </c>
      <c r="E13" s="380">
        <v>9.5000000000000001E-2</v>
      </c>
      <c r="F13" s="380">
        <v>0.1</v>
      </c>
      <c r="G13" s="381">
        <v>9.7000000000000003E-2</v>
      </c>
    </row>
    <row r="14" spans="1:7">
      <c r="A14" s="371" t="s">
        <v>235</v>
      </c>
      <c r="B14" s="365" t="s">
        <v>197</v>
      </c>
      <c r="C14" s="380">
        <v>9.7000000000000003E-2</v>
      </c>
      <c r="D14" s="380">
        <v>9.7000000000000003E-2</v>
      </c>
      <c r="E14" s="380">
        <v>9.7000000000000003E-2</v>
      </c>
      <c r="F14" s="380">
        <v>0.1</v>
      </c>
      <c r="G14" s="381">
        <v>9.8000000000000004E-2</v>
      </c>
    </row>
    <row r="15" spans="1:7">
      <c r="A15" s="371" t="s">
        <v>235</v>
      </c>
      <c r="B15" s="365" t="s">
        <v>206</v>
      </c>
      <c r="C15" s="380">
        <v>9.8000000000000004E-2</v>
      </c>
      <c r="D15" s="380">
        <v>9.0999999999999998E-2</v>
      </c>
      <c r="E15" s="380">
        <v>0.06</v>
      </c>
      <c r="F15" s="380">
        <v>0.1</v>
      </c>
      <c r="G15" s="381">
        <v>9.7000000000000003E-2</v>
      </c>
    </row>
    <row r="16" spans="1:7">
      <c r="A16" s="371" t="s">
        <v>235</v>
      </c>
      <c r="B16" s="365" t="s">
        <v>216</v>
      </c>
      <c r="C16" s="380">
        <v>9.8000000000000004E-2</v>
      </c>
      <c r="D16" s="380">
        <v>9.7000000000000003E-2</v>
      </c>
      <c r="E16" s="380">
        <v>9.5000000000000001E-2</v>
      </c>
      <c r="F16" s="380">
        <v>0.1</v>
      </c>
      <c r="G16" s="381">
        <v>9.9000000000000005E-2</v>
      </c>
    </row>
    <row r="17" spans="1:7">
      <c r="A17" s="371" t="s">
        <v>235</v>
      </c>
      <c r="B17" s="365" t="s">
        <v>226</v>
      </c>
      <c r="C17" s="380">
        <v>8.8999999999999996E-2</v>
      </c>
      <c r="D17" s="380">
        <v>9.1999999999999998E-2</v>
      </c>
      <c r="E17" s="380">
        <v>6.0999999999999999E-2</v>
      </c>
      <c r="F17" s="380">
        <v>0.1</v>
      </c>
      <c r="G17" s="381">
        <v>9.7000000000000003E-2</v>
      </c>
    </row>
    <row r="18" spans="1:7">
      <c r="A18" s="371" t="s">
        <v>235</v>
      </c>
      <c r="B18" s="365" t="s">
        <v>236</v>
      </c>
      <c r="C18" s="380">
        <v>9.8000000000000004E-2</v>
      </c>
      <c r="D18" s="380">
        <v>9.8000000000000004E-2</v>
      </c>
      <c r="E18" s="380">
        <v>9.8000000000000004E-2</v>
      </c>
      <c r="F18" s="385"/>
      <c r="G18" s="381">
        <v>9.9000000000000005E-2</v>
      </c>
    </row>
    <row r="19" spans="1:7">
      <c r="A19" s="371" t="s">
        <v>235</v>
      </c>
      <c r="B19" s="365" t="s">
        <v>246</v>
      </c>
      <c r="C19" s="380">
        <v>9.9000000000000005E-2</v>
      </c>
      <c r="D19" s="380">
        <v>7.3999999999999996E-2</v>
      </c>
      <c r="E19" s="380">
        <v>8.1000000000000003E-2</v>
      </c>
      <c r="F19" s="385"/>
      <c r="G19" s="381">
        <v>9.2999999999999999E-2</v>
      </c>
    </row>
    <row r="20" spans="1:7">
      <c r="A20" s="371" t="s">
        <v>235</v>
      </c>
      <c r="B20" s="365" t="s">
        <v>255</v>
      </c>
      <c r="C20" s="380">
        <v>0.1</v>
      </c>
      <c r="D20" s="380">
        <v>8.8999999999999996E-2</v>
      </c>
      <c r="E20" s="380">
        <v>8.8999999999999996E-2</v>
      </c>
      <c r="F20" s="385"/>
      <c r="G20" s="381">
        <v>9.5000000000000001E-2</v>
      </c>
    </row>
    <row r="21" spans="1:7">
      <c r="A21" s="371" t="s">
        <v>235</v>
      </c>
      <c r="B21" s="365" t="s">
        <v>263</v>
      </c>
      <c r="C21" s="380">
        <v>0.1</v>
      </c>
      <c r="D21" s="380">
        <v>9.0999999999999998E-2</v>
      </c>
      <c r="E21" s="380">
        <v>8.2000000000000003E-2</v>
      </c>
      <c r="F21" s="385"/>
      <c r="G21" s="381">
        <v>9.7000000000000003E-2</v>
      </c>
    </row>
    <row r="22" spans="1:7">
      <c r="A22" s="371" t="s">
        <v>235</v>
      </c>
      <c r="B22" s="365" t="s">
        <v>3043</v>
      </c>
      <c r="C22" s="380">
        <v>9.5000000000000001E-2</v>
      </c>
      <c r="D22" s="380">
        <v>9.9000000000000005E-2</v>
      </c>
      <c r="E22" s="380">
        <v>9.8000000000000004E-2</v>
      </c>
      <c r="F22" s="385"/>
      <c r="G22" s="381">
        <v>0.1</v>
      </c>
    </row>
    <row r="23" spans="1:7">
      <c r="A23" s="371" t="s">
        <v>235</v>
      </c>
      <c r="B23" s="365" t="s">
        <v>281</v>
      </c>
      <c r="C23" s="380">
        <v>9.9000000000000005E-2</v>
      </c>
      <c r="D23" s="380">
        <v>0.1</v>
      </c>
      <c r="E23" s="380">
        <v>0.1</v>
      </c>
      <c r="F23" s="385"/>
      <c r="G23" s="381">
        <v>0.1</v>
      </c>
    </row>
    <row r="24" spans="1:7">
      <c r="A24" s="371" t="s">
        <v>235</v>
      </c>
      <c r="B24" s="365" t="s">
        <v>291</v>
      </c>
      <c r="C24" s="380">
        <v>9.5000000000000001E-2</v>
      </c>
      <c r="D24" s="380">
        <v>0.1</v>
      </c>
      <c r="E24" s="380">
        <v>9.8000000000000004E-2</v>
      </c>
      <c r="F24" s="385"/>
      <c r="G24" s="381">
        <v>0.1</v>
      </c>
    </row>
    <row r="25" spans="1:7">
      <c r="A25" s="371" t="s">
        <v>235</v>
      </c>
      <c r="B25" s="365" t="s">
        <v>300</v>
      </c>
      <c r="C25" s="380">
        <v>0.05</v>
      </c>
      <c r="D25" s="380">
        <v>9.6000000000000002E-2</v>
      </c>
      <c r="E25" s="380">
        <v>9.6000000000000002E-2</v>
      </c>
      <c r="F25" s="385"/>
      <c r="G25" s="381">
        <v>9.6000000000000002E-2</v>
      </c>
    </row>
    <row r="26" spans="1:7">
      <c r="A26" s="371" t="s">
        <v>235</v>
      </c>
      <c r="B26" s="365" t="s">
        <v>309</v>
      </c>
      <c r="C26" s="380">
        <v>6.3E-2</v>
      </c>
      <c r="D26" s="380">
        <v>9.9000000000000005E-2</v>
      </c>
      <c r="E26" s="380">
        <v>9.8000000000000004E-2</v>
      </c>
      <c r="F26" s="385"/>
      <c r="G26" s="381">
        <v>0.1</v>
      </c>
    </row>
    <row r="27" spans="1:7">
      <c r="A27" s="371" t="s">
        <v>235</v>
      </c>
      <c r="B27" s="365" t="s">
        <v>319</v>
      </c>
      <c r="C27" s="380">
        <v>5.1999999999999998E-2</v>
      </c>
      <c r="D27" s="380">
        <v>9.5000000000000001E-2</v>
      </c>
      <c r="E27" s="380">
        <v>6.4000000000000001E-2</v>
      </c>
      <c r="F27" s="385"/>
      <c r="G27" s="381">
        <v>9.7000000000000003E-2</v>
      </c>
    </row>
    <row r="28" spans="1:7">
      <c r="A28" s="371" t="s">
        <v>235</v>
      </c>
      <c r="B28" s="365" t="s">
        <v>328</v>
      </c>
      <c r="C28" s="385"/>
      <c r="D28" s="380">
        <v>6.3E-2</v>
      </c>
      <c r="E28" s="380">
        <v>5.1999999999999998E-2</v>
      </c>
      <c r="F28" s="385"/>
      <c r="G28" s="381">
        <v>6.3E-2</v>
      </c>
    </row>
    <row r="29" spans="1:7" ht="14.5"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4.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4.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4.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4.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4.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4.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4.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4.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4.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4.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4"/>
  <cols>
    <col min="1" max="1" width="4.90625" style="2554" customWidth="1"/>
    <col min="2" max="2" width="13.26953125" style="2560" customWidth="1"/>
    <col min="3" max="3" width="15.6328125" style="2560" customWidth="1"/>
    <col min="4" max="4" width="9.36328125" style="2560" bestFit="1" customWidth="1"/>
    <col min="5" max="5" width="13.453125" style="2560" customWidth="1"/>
    <col min="6" max="6" width="9" style="2560"/>
    <col min="7" max="7" width="9.36328125" style="2560" bestFit="1" customWidth="1"/>
    <col min="8" max="8" width="12.26953125" style="2560" customWidth="1"/>
    <col min="9" max="9" width="9" style="2560"/>
    <col min="10" max="10" width="9.36328125" style="2560" bestFit="1" customWidth="1"/>
    <col min="11" max="11" width="4" style="2554" customWidth="1"/>
    <col min="12" max="12" width="5.08984375" style="2560" customWidth="1"/>
    <col min="13" max="13" width="13.7265625" style="2560" customWidth="1"/>
    <col min="14" max="256" width="9" style="2560"/>
    <col min="257" max="257" width="4.90625" style="2553" customWidth="1"/>
    <col min="258" max="258" width="13.26953125" style="2553" customWidth="1"/>
    <col min="259" max="259" width="15.6328125" style="2553" customWidth="1"/>
    <col min="260" max="260" width="9.36328125" style="2553" bestFit="1" customWidth="1"/>
    <col min="261" max="261" width="13.453125" style="2553" customWidth="1"/>
    <col min="262" max="262" width="9" style="2553"/>
    <col min="263" max="263" width="9.36328125" style="2553" bestFit="1" customWidth="1"/>
    <col min="264" max="265" width="9" style="2553"/>
    <col min="266" max="266" width="9.36328125" style="2553" bestFit="1" customWidth="1"/>
    <col min="267" max="267" width="4" style="2553" customWidth="1"/>
    <col min="268" max="268" width="5.08984375" style="2553" customWidth="1"/>
    <col min="269" max="269" width="13.7265625" style="2553" customWidth="1"/>
    <col min="270" max="512" width="9" style="2553"/>
    <col min="513" max="513" width="4.90625" style="2553" customWidth="1"/>
    <col min="514" max="514" width="13.26953125" style="2553" customWidth="1"/>
    <col min="515" max="515" width="15.6328125" style="2553" customWidth="1"/>
    <col min="516" max="516" width="9.36328125" style="2553" bestFit="1" customWidth="1"/>
    <col min="517" max="517" width="13.453125" style="2553" customWidth="1"/>
    <col min="518" max="518" width="9" style="2553"/>
    <col min="519" max="519" width="9.36328125" style="2553" bestFit="1" customWidth="1"/>
    <col min="520" max="521" width="9" style="2553"/>
    <col min="522" max="522" width="9.36328125" style="2553" bestFit="1" customWidth="1"/>
    <col min="523" max="523" width="4" style="2553" customWidth="1"/>
    <col min="524" max="524" width="5.08984375" style="2553" customWidth="1"/>
    <col min="525" max="525" width="13.7265625" style="2553" customWidth="1"/>
    <col min="526" max="768" width="9" style="2553"/>
    <col min="769" max="769" width="4.90625" style="2553" customWidth="1"/>
    <col min="770" max="770" width="13.26953125" style="2553" customWidth="1"/>
    <col min="771" max="771" width="15.6328125" style="2553" customWidth="1"/>
    <col min="772" max="772" width="9.36328125" style="2553" bestFit="1" customWidth="1"/>
    <col min="773" max="773" width="13.453125" style="2553" customWidth="1"/>
    <col min="774" max="774" width="9" style="2553"/>
    <col min="775" max="775" width="9.36328125" style="2553" bestFit="1" customWidth="1"/>
    <col min="776" max="777" width="9" style="2553"/>
    <col min="778" max="778" width="9.36328125" style="2553" bestFit="1" customWidth="1"/>
    <col min="779" max="779" width="4" style="2553" customWidth="1"/>
    <col min="780" max="780" width="5.08984375" style="2553" customWidth="1"/>
    <col min="781" max="781" width="13.7265625" style="2553" customWidth="1"/>
    <col min="782" max="1024" width="9" style="2553"/>
    <col min="1025" max="1025" width="4.90625" style="2553" customWidth="1"/>
    <col min="1026" max="1026" width="13.26953125" style="2553" customWidth="1"/>
    <col min="1027" max="1027" width="15.6328125" style="2553" customWidth="1"/>
    <col min="1028" max="1028" width="9.36328125" style="2553" bestFit="1" customWidth="1"/>
    <col min="1029" max="1029" width="13.453125" style="2553" customWidth="1"/>
    <col min="1030" max="1030" width="9" style="2553"/>
    <col min="1031" max="1031" width="9.36328125" style="2553" bestFit="1" customWidth="1"/>
    <col min="1032" max="1033" width="9" style="2553"/>
    <col min="1034" max="1034" width="9.36328125" style="2553" bestFit="1" customWidth="1"/>
    <col min="1035" max="1035" width="4" style="2553" customWidth="1"/>
    <col min="1036" max="1036" width="5.08984375" style="2553" customWidth="1"/>
    <col min="1037" max="1037" width="13.7265625" style="2553" customWidth="1"/>
    <col min="1038" max="1280" width="9" style="2553"/>
    <col min="1281" max="1281" width="4.90625" style="2553" customWidth="1"/>
    <col min="1282" max="1282" width="13.26953125" style="2553" customWidth="1"/>
    <col min="1283" max="1283" width="15.6328125" style="2553" customWidth="1"/>
    <col min="1284" max="1284" width="9.36328125" style="2553" bestFit="1" customWidth="1"/>
    <col min="1285" max="1285" width="13.453125" style="2553" customWidth="1"/>
    <col min="1286" max="1286" width="9" style="2553"/>
    <col min="1287" max="1287" width="9.36328125" style="2553" bestFit="1" customWidth="1"/>
    <col min="1288" max="1289" width="9" style="2553"/>
    <col min="1290" max="1290" width="9.36328125" style="2553" bestFit="1" customWidth="1"/>
    <col min="1291" max="1291" width="4" style="2553" customWidth="1"/>
    <col min="1292" max="1292" width="5.08984375" style="2553" customWidth="1"/>
    <col min="1293" max="1293" width="13.7265625" style="2553" customWidth="1"/>
    <col min="1294" max="1536" width="9" style="2553"/>
    <col min="1537" max="1537" width="4.90625" style="2553" customWidth="1"/>
    <col min="1538" max="1538" width="13.26953125" style="2553" customWidth="1"/>
    <col min="1539" max="1539" width="15.6328125" style="2553" customWidth="1"/>
    <col min="1540" max="1540" width="9.36328125" style="2553" bestFit="1" customWidth="1"/>
    <col min="1541" max="1541" width="13.453125" style="2553" customWidth="1"/>
    <col min="1542" max="1542" width="9" style="2553"/>
    <col min="1543" max="1543" width="9.36328125" style="2553" bestFit="1" customWidth="1"/>
    <col min="1544" max="1545" width="9" style="2553"/>
    <col min="1546" max="1546" width="9.36328125" style="2553" bestFit="1" customWidth="1"/>
    <col min="1547" max="1547" width="4" style="2553" customWidth="1"/>
    <col min="1548" max="1548" width="5.08984375" style="2553" customWidth="1"/>
    <col min="1549" max="1549" width="13.7265625" style="2553" customWidth="1"/>
    <col min="1550" max="1792" width="9" style="2553"/>
    <col min="1793" max="1793" width="4.90625" style="2553" customWidth="1"/>
    <col min="1794" max="1794" width="13.26953125" style="2553" customWidth="1"/>
    <col min="1795" max="1795" width="15.6328125" style="2553" customWidth="1"/>
    <col min="1796" max="1796" width="9.36328125" style="2553" bestFit="1" customWidth="1"/>
    <col min="1797" max="1797" width="13.453125" style="2553" customWidth="1"/>
    <col min="1798" max="1798" width="9" style="2553"/>
    <col min="1799" max="1799" width="9.36328125" style="2553" bestFit="1" customWidth="1"/>
    <col min="1800" max="1801" width="9" style="2553"/>
    <col min="1802" max="1802" width="9.36328125" style="2553" bestFit="1" customWidth="1"/>
    <col min="1803" max="1803" width="4" style="2553" customWidth="1"/>
    <col min="1804" max="1804" width="5.08984375" style="2553" customWidth="1"/>
    <col min="1805" max="1805" width="13.7265625" style="2553" customWidth="1"/>
    <col min="1806" max="2048" width="9" style="2553"/>
    <col min="2049" max="2049" width="4.90625" style="2553" customWidth="1"/>
    <col min="2050" max="2050" width="13.26953125" style="2553" customWidth="1"/>
    <col min="2051" max="2051" width="15.6328125" style="2553" customWidth="1"/>
    <col min="2052" max="2052" width="9.36328125" style="2553" bestFit="1" customWidth="1"/>
    <col min="2053" max="2053" width="13.453125" style="2553" customWidth="1"/>
    <col min="2054" max="2054" width="9" style="2553"/>
    <col min="2055" max="2055" width="9.36328125" style="2553" bestFit="1" customWidth="1"/>
    <col min="2056" max="2057" width="9" style="2553"/>
    <col min="2058" max="2058" width="9.36328125" style="2553" bestFit="1" customWidth="1"/>
    <col min="2059" max="2059" width="4" style="2553" customWidth="1"/>
    <col min="2060" max="2060" width="5.08984375" style="2553" customWidth="1"/>
    <col min="2061" max="2061" width="13.7265625" style="2553" customWidth="1"/>
    <col min="2062" max="2304" width="9" style="2553"/>
    <col min="2305" max="2305" width="4.90625" style="2553" customWidth="1"/>
    <col min="2306" max="2306" width="13.26953125" style="2553" customWidth="1"/>
    <col min="2307" max="2307" width="15.6328125" style="2553" customWidth="1"/>
    <col min="2308" max="2308" width="9.36328125" style="2553" bestFit="1" customWidth="1"/>
    <col min="2309" max="2309" width="13.453125" style="2553" customWidth="1"/>
    <col min="2310" max="2310" width="9" style="2553"/>
    <col min="2311" max="2311" width="9.36328125" style="2553" bestFit="1" customWidth="1"/>
    <col min="2312" max="2313" width="9" style="2553"/>
    <col min="2314" max="2314" width="9.36328125" style="2553" bestFit="1" customWidth="1"/>
    <col min="2315" max="2315" width="4" style="2553" customWidth="1"/>
    <col min="2316" max="2316" width="5.08984375" style="2553" customWidth="1"/>
    <col min="2317" max="2317" width="13.7265625" style="2553" customWidth="1"/>
    <col min="2318" max="2560" width="9" style="2553"/>
    <col min="2561" max="2561" width="4.90625" style="2553" customWidth="1"/>
    <col min="2562" max="2562" width="13.26953125" style="2553" customWidth="1"/>
    <col min="2563" max="2563" width="15.6328125" style="2553" customWidth="1"/>
    <col min="2564" max="2564" width="9.36328125" style="2553" bestFit="1" customWidth="1"/>
    <col min="2565" max="2565" width="13.453125" style="2553" customWidth="1"/>
    <col min="2566" max="2566" width="9" style="2553"/>
    <col min="2567" max="2567" width="9.36328125" style="2553" bestFit="1" customWidth="1"/>
    <col min="2568" max="2569" width="9" style="2553"/>
    <col min="2570" max="2570" width="9.36328125" style="2553" bestFit="1" customWidth="1"/>
    <col min="2571" max="2571" width="4" style="2553" customWidth="1"/>
    <col min="2572" max="2572" width="5.08984375" style="2553" customWidth="1"/>
    <col min="2573" max="2573" width="13.7265625" style="2553" customWidth="1"/>
    <col min="2574" max="2816" width="9" style="2553"/>
    <col min="2817" max="2817" width="4.90625" style="2553" customWidth="1"/>
    <col min="2818" max="2818" width="13.26953125" style="2553" customWidth="1"/>
    <col min="2819" max="2819" width="15.6328125" style="2553" customWidth="1"/>
    <col min="2820" max="2820" width="9.36328125" style="2553" bestFit="1" customWidth="1"/>
    <col min="2821" max="2821" width="13.453125" style="2553" customWidth="1"/>
    <col min="2822" max="2822" width="9" style="2553"/>
    <col min="2823" max="2823" width="9.36328125" style="2553" bestFit="1" customWidth="1"/>
    <col min="2824" max="2825" width="9" style="2553"/>
    <col min="2826" max="2826" width="9.36328125" style="2553" bestFit="1" customWidth="1"/>
    <col min="2827" max="2827" width="4" style="2553" customWidth="1"/>
    <col min="2828" max="2828" width="5.08984375" style="2553" customWidth="1"/>
    <col min="2829" max="2829" width="13.7265625" style="2553" customWidth="1"/>
    <col min="2830" max="3072" width="9" style="2553"/>
    <col min="3073" max="3073" width="4.90625" style="2553" customWidth="1"/>
    <col min="3074" max="3074" width="13.26953125" style="2553" customWidth="1"/>
    <col min="3075" max="3075" width="15.6328125" style="2553" customWidth="1"/>
    <col min="3076" max="3076" width="9.36328125" style="2553" bestFit="1" customWidth="1"/>
    <col min="3077" max="3077" width="13.453125" style="2553" customWidth="1"/>
    <col min="3078" max="3078" width="9" style="2553"/>
    <col min="3079" max="3079" width="9.36328125" style="2553" bestFit="1" customWidth="1"/>
    <col min="3080" max="3081" width="9" style="2553"/>
    <col min="3082" max="3082" width="9.36328125" style="2553" bestFit="1" customWidth="1"/>
    <col min="3083" max="3083" width="4" style="2553" customWidth="1"/>
    <col min="3084" max="3084" width="5.08984375" style="2553" customWidth="1"/>
    <col min="3085" max="3085" width="13.7265625" style="2553" customWidth="1"/>
    <col min="3086" max="3328" width="9" style="2553"/>
    <col min="3329" max="3329" width="4.90625" style="2553" customWidth="1"/>
    <col min="3330" max="3330" width="13.26953125" style="2553" customWidth="1"/>
    <col min="3331" max="3331" width="15.6328125" style="2553" customWidth="1"/>
    <col min="3332" max="3332" width="9.36328125" style="2553" bestFit="1" customWidth="1"/>
    <col min="3333" max="3333" width="13.453125" style="2553" customWidth="1"/>
    <col min="3334" max="3334" width="9" style="2553"/>
    <col min="3335" max="3335" width="9.36328125" style="2553" bestFit="1" customWidth="1"/>
    <col min="3336" max="3337" width="9" style="2553"/>
    <col min="3338" max="3338" width="9.36328125" style="2553" bestFit="1" customWidth="1"/>
    <col min="3339" max="3339" width="4" style="2553" customWidth="1"/>
    <col min="3340" max="3340" width="5.08984375" style="2553" customWidth="1"/>
    <col min="3341" max="3341" width="13.7265625" style="2553" customWidth="1"/>
    <col min="3342" max="3584" width="9" style="2553"/>
    <col min="3585" max="3585" width="4.90625" style="2553" customWidth="1"/>
    <col min="3586" max="3586" width="13.26953125" style="2553" customWidth="1"/>
    <col min="3587" max="3587" width="15.6328125" style="2553" customWidth="1"/>
    <col min="3588" max="3588" width="9.36328125" style="2553" bestFit="1" customWidth="1"/>
    <col min="3589" max="3589" width="13.453125" style="2553" customWidth="1"/>
    <col min="3590" max="3590" width="9" style="2553"/>
    <col min="3591" max="3591" width="9.36328125" style="2553" bestFit="1" customWidth="1"/>
    <col min="3592" max="3593" width="9" style="2553"/>
    <col min="3594" max="3594" width="9.36328125" style="2553" bestFit="1" customWidth="1"/>
    <col min="3595" max="3595" width="4" style="2553" customWidth="1"/>
    <col min="3596" max="3596" width="5.08984375" style="2553" customWidth="1"/>
    <col min="3597" max="3597" width="13.7265625" style="2553" customWidth="1"/>
    <col min="3598" max="3840" width="9" style="2553"/>
    <col min="3841" max="3841" width="4.90625" style="2553" customWidth="1"/>
    <col min="3842" max="3842" width="13.26953125" style="2553" customWidth="1"/>
    <col min="3843" max="3843" width="15.6328125" style="2553" customWidth="1"/>
    <col min="3844" max="3844" width="9.36328125" style="2553" bestFit="1" customWidth="1"/>
    <col min="3845" max="3845" width="13.453125" style="2553" customWidth="1"/>
    <col min="3846" max="3846" width="9" style="2553"/>
    <col min="3847" max="3847" width="9.36328125" style="2553" bestFit="1" customWidth="1"/>
    <col min="3848" max="3849" width="9" style="2553"/>
    <col min="3850" max="3850" width="9.36328125" style="2553" bestFit="1" customWidth="1"/>
    <col min="3851" max="3851" width="4" style="2553" customWidth="1"/>
    <col min="3852" max="3852" width="5.08984375" style="2553" customWidth="1"/>
    <col min="3853" max="3853" width="13.7265625" style="2553" customWidth="1"/>
    <col min="3854" max="4096" width="9" style="2553"/>
    <col min="4097" max="4097" width="4.90625" style="2553" customWidth="1"/>
    <col min="4098" max="4098" width="13.26953125" style="2553" customWidth="1"/>
    <col min="4099" max="4099" width="15.6328125" style="2553" customWidth="1"/>
    <col min="4100" max="4100" width="9.36328125" style="2553" bestFit="1" customWidth="1"/>
    <col min="4101" max="4101" width="13.453125" style="2553" customWidth="1"/>
    <col min="4102" max="4102" width="9" style="2553"/>
    <col min="4103" max="4103" width="9.36328125" style="2553" bestFit="1" customWidth="1"/>
    <col min="4104" max="4105" width="9" style="2553"/>
    <col min="4106" max="4106" width="9.36328125" style="2553" bestFit="1" customWidth="1"/>
    <col min="4107" max="4107" width="4" style="2553" customWidth="1"/>
    <col min="4108" max="4108" width="5.08984375" style="2553" customWidth="1"/>
    <col min="4109" max="4109" width="13.7265625" style="2553" customWidth="1"/>
    <col min="4110" max="4352" width="9" style="2553"/>
    <col min="4353" max="4353" width="4.90625" style="2553" customWidth="1"/>
    <col min="4354" max="4354" width="13.26953125" style="2553" customWidth="1"/>
    <col min="4355" max="4355" width="15.6328125" style="2553" customWidth="1"/>
    <col min="4356" max="4356" width="9.36328125" style="2553" bestFit="1" customWidth="1"/>
    <col min="4357" max="4357" width="13.453125" style="2553" customWidth="1"/>
    <col min="4358" max="4358" width="9" style="2553"/>
    <col min="4359" max="4359" width="9.36328125" style="2553" bestFit="1" customWidth="1"/>
    <col min="4360" max="4361" width="9" style="2553"/>
    <col min="4362" max="4362" width="9.36328125" style="2553" bestFit="1" customWidth="1"/>
    <col min="4363" max="4363" width="4" style="2553" customWidth="1"/>
    <col min="4364" max="4364" width="5.08984375" style="2553" customWidth="1"/>
    <col min="4365" max="4365" width="13.7265625" style="2553" customWidth="1"/>
    <col min="4366" max="4608" width="9" style="2553"/>
    <col min="4609" max="4609" width="4.90625" style="2553" customWidth="1"/>
    <col min="4610" max="4610" width="13.26953125" style="2553" customWidth="1"/>
    <col min="4611" max="4611" width="15.6328125" style="2553" customWidth="1"/>
    <col min="4612" max="4612" width="9.36328125" style="2553" bestFit="1" customWidth="1"/>
    <col min="4613" max="4613" width="13.453125" style="2553" customWidth="1"/>
    <col min="4614" max="4614" width="9" style="2553"/>
    <col min="4615" max="4615" width="9.36328125" style="2553" bestFit="1" customWidth="1"/>
    <col min="4616" max="4617" width="9" style="2553"/>
    <col min="4618" max="4618" width="9.36328125" style="2553" bestFit="1" customWidth="1"/>
    <col min="4619" max="4619" width="4" style="2553" customWidth="1"/>
    <col min="4620" max="4620" width="5.08984375" style="2553" customWidth="1"/>
    <col min="4621" max="4621" width="13.7265625" style="2553" customWidth="1"/>
    <col min="4622" max="4864" width="9" style="2553"/>
    <col min="4865" max="4865" width="4.90625" style="2553" customWidth="1"/>
    <col min="4866" max="4866" width="13.26953125" style="2553" customWidth="1"/>
    <col min="4867" max="4867" width="15.6328125" style="2553" customWidth="1"/>
    <col min="4868" max="4868" width="9.36328125" style="2553" bestFit="1" customWidth="1"/>
    <col min="4869" max="4869" width="13.453125" style="2553" customWidth="1"/>
    <col min="4870" max="4870" width="9" style="2553"/>
    <col min="4871" max="4871" width="9.36328125" style="2553" bestFit="1" customWidth="1"/>
    <col min="4872" max="4873" width="9" style="2553"/>
    <col min="4874" max="4874" width="9.36328125" style="2553" bestFit="1" customWidth="1"/>
    <col min="4875" max="4875" width="4" style="2553" customWidth="1"/>
    <col min="4876" max="4876" width="5.08984375" style="2553" customWidth="1"/>
    <col min="4877" max="4877" width="13.7265625" style="2553" customWidth="1"/>
    <col min="4878" max="5120" width="9" style="2553"/>
    <col min="5121" max="5121" width="4.90625" style="2553" customWidth="1"/>
    <col min="5122" max="5122" width="13.26953125" style="2553" customWidth="1"/>
    <col min="5123" max="5123" width="15.6328125" style="2553" customWidth="1"/>
    <col min="5124" max="5124" width="9.36328125" style="2553" bestFit="1" customWidth="1"/>
    <col min="5125" max="5125" width="13.453125" style="2553" customWidth="1"/>
    <col min="5126" max="5126" width="9" style="2553"/>
    <col min="5127" max="5127" width="9.36328125" style="2553" bestFit="1" customWidth="1"/>
    <col min="5128" max="5129" width="9" style="2553"/>
    <col min="5130" max="5130" width="9.36328125" style="2553" bestFit="1" customWidth="1"/>
    <col min="5131" max="5131" width="4" style="2553" customWidth="1"/>
    <col min="5132" max="5132" width="5.08984375" style="2553" customWidth="1"/>
    <col min="5133" max="5133" width="13.7265625" style="2553" customWidth="1"/>
    <col min="5134" max="5376" width="9" style="2553"/>
    <col min="5377" max="5377" width="4.90625" style="2553" customWidth="1"/>
    <col min="5378" max="5378" width="13.26953125" style="2553" customWidth="1"/>
    <col min="5379" max="5379" width="15.6328125" style="2553" customWidth="1"/>
    <col min="5380" max="5380" width="9.36328125" style="2553" bestFit="1" customWidth="1"/>
    <col min="5381" max="5381" width="13.453125" style="2553" customWidth="1"/>
    <col min="5382" max="5382" width="9" style="2553"/>
    <col min="5383" max="5383" width="9.36328125" style="2553" bestFit="1" customWidth="1"/>
    <col min="5384" max="5385" width="9" style="2553"/>
    <col min="5386" max="5386" width="9.36328125" style="2553" bestFit="1" customWidth="1"/>
    <col min="5387" max="5387" width="4" style="2553" customWidth="1"/>
    <col min="5388" max="5388" width="5.08984375" style="2553" customWidth="1"/>
    <col min="5389" max="5389" width="13.7265625" style="2553" customWidth="1"/>
    <col min="5390" max="5632" width="9" style="2553"/>
    <col min="5633" max="5633" width="4.90625" style="2553" customWidth="1"/>
    <col min="5634" max="5634" width="13.26953125" style="2553" customWidth="1"/>
    <col min="5635" max="5635" width="15.6328125" style="2553" customWidth="1"/>
    <col min="5636" max="5636" width="9.36328125" style="2553" bestFit="1" customWidth="1"/>
    <col min="5637" max="5637" width="13.453125" style="2553" customWidth="1"/>
    <col min="5638" max="5638" width="9" style="2553"/>
    <col min="5639" max="5639" width="9.36328125" style="2553" bestFit="1" customWidth="1"/>
    <col min="5640" max="5641" width="9" style="2553"/>
    <col min="5642" max="5642" width="9.36328125" style="2553" bestFit="1" customWidth="1"/>
    <col min="5643" max="5643" width="4" style="2553" customWidth="1"/>
    <col min="5644" max="5644" width="5.08984375" style="2553" customWidth="1"/>
    <col min="5645" max="5645" width="13.7265625" style="2553" customWidth="1"/>
    <col min="5646" max="5888" width="9" style="2553"/>
    <col min="5889" max="5889" width="4.90625" style="2553" customWidth="1"/>
    <col min="5890" max="5890" width="13.26953125" style="2553" customWidth="1"/>
    <col min="5891" max="5891" width="15.6328125" style="2553" customWidth="1"/>
    <col min="5892" max="5892" width="9.36328125" style="2553" bestFit="1" customWidth="1"/>
    <col min="5893" max="5893" width="13.453125" style="2553" customWidth="1"/>
    <col min="5894" max="5894" width="9" style="2553"/>
    <col min="5895" max="5895" width="9.36328125" style="2553" bestFit="1" customWidth="1"/>
    <col min="5896" max="5897" width="9" style="2553"/>
    <col min="5898" max="5898" width="9.36328125" style="2553" bestFit="1" customWidth="1"/>
    <col min="5899" max="5899" width="4" style="2553" customWidth="1"/>
    <col min="5900" max="5900" width="5.08984375" style="2553" customWidth="1"/>
    <col min="5901" max="5901" width="13.7265625" style="2553" customWidth="1"/>
    <col min="5902" max="6144" width="9" style="2553"/>
    <col min="6145" max="6145" width="4.90625" style="2553" customWidth="1"/>
    <col min="6146" max="6146" width="13.26953125" style="2553" customWidth="1"/>
    <col min="6147" max="6147" width="15.6328125" style="2553" customWidth="1"/>
    <col min="6148" max="6148" width="9.36328125" style="2553" bestFit="1" customWidth="1"/>
    <col min="6149" max="6149" width="13.453125" style="2553" customWidth="1"/>
    <col min="6150" max="6150" width="9" style="2553"/>
    <col min="6151" max="6151" width="9.36328125" style="2553" bestFit="1" customWidth="1"/>
    <col min="6152" max="6153" width="9" style="2553"/>
    <col min="6154" max="6154" width="9.36328125" style="2553" bestFit="1" customWidth="1"/>
    <col min="6155" max="6155" width="4" style="2553" customWidth="1"/>
    <col min="6156" max="6156" width="5.08984375" style="2553" customWidth="1"/>
    <col min="6157" max="6157" width="13.7265625" style="2553" customWidth="1"/>
    <col min="6158" max="6400" width="9" style="2553"/>
    <col min="6401" max="6401" width="4.90625" style="2553" customWidth="1"/>
    <col min="6402" max="6402" width="13.26953125" style="2553" customWidth="1"/>
    <col min="6403" max="6403" width="15.6328125" style="2553" customWidth="1"/>
    <col min="6404" max="6404" width="9.36328125" style="2553" bestFit="1" customWidth="1"/>
    <col min="6405" max="6405" width="13.453125" style="2553" customWidth="1"/>
    <col min="6406" max="6406" width="9" style="2553"/>
    <col min="6407" max="6407" width="9.36328125" style="2553" bestFit="1" customWidth="1"/>
    <col min="6408" max="6409" width="9" style="2553"/>
    <col min="6410" max="6410" width="9.36328125" style="2553" bestFit="1" customWidth="1"/>
    <col min="6411" max="6411" width="4" style="2553" customWidth="1"/>
    <col min="6412" max="6412" width="5.08984375" style="2553" customWidth="1"/>
    <col min="6413" max="6413" width="13.7265625" style="2553" customWidth="1"/>
    <col min="6414" max="6656" width="9" style="2553"/>
    <col min="6657" max="6657" width="4.90625" style="2553" customWidth="1"/>
    <col min="6658" max="6658" width="13.26953125" style="2553" customWidth="1"/>
    <col min="6659" max="6659" width="15.6328125" style="2553" customWidth="1"/>
    <col min="6660" max="6660" width="9.36328125" style="2553" bestFit="1" customWidth="1"/>
    <col min="6661" max="6661" width="13.453125" style="2553" customWidth="1"/>
    <col min="6662" max="6662" width="9" style="2553"/>
    <col min="6663" max="6663" width="9.36328125" style="2553" bestFit="1" customWidth="1"/>
    <col min="6664" max="6665" width="9" style="2553"/>
    <col min="6666" max="6666" width="9.36328125" style="2553" bestFit="1" customWidth="1"/>
    <col min="6667" max="6667" width="4" style="2553" customWidth="1"/>
    <col min="6668" max="6668" width="5.08984375" style="2553" customWidth="1"/>
    <col min="6669" max="6669" width="13.7265625" style="2553" customWidth="1"/>
    <col min="6670" max="6912" width="9" style="2553"/>
    <col min="6913" max="6913" width="4.90625" style="2553" customWidth="1"/>
    <col min="6914" max="6914" width="13.26953125" style="2553" customWidth="1"/>
    <col min="6915" max="6915" width="15.6328125" style="2553" customWidth="1"/>
    <col min="6916" max="6916" width="9.36328125" style="2553" bestFit="1" customWidth="1"/>
    <col min="6917" max="6917" width="13.453125" style="2553" customWidth="1"/>
    <col min="6918" max="6918" width="9" style="2553"/>
    <col min="6919" max="6919" width="9.36328125" style="2553" bestFit="1" customWidth="1"/>
    <col min="6920" max="6921" width="9" style="2553"/>
    <col min="6922" max="6922" width="9.36328125" style="2553" bestFit="1" customWidth="1"/>
    <col min="6923" max="6923" width="4" style="2553" customWidth="1"/>
    <col min="6924" max="6924" width="5.08984375" style="2553" customWidth="1"/>
    <col min="6925" max="6925" width="13.7265625" style="2553" customWidth="1"/>
    <col min="6926" max="7168" width="9" style="2553"/>
    <col min="7169" max="7169" width="4.90625" style="2553" customWidth="1"/>
    <col min="7170" max="7170" width="13.26953125" style="2553" customWidth="1"/>
    <col min="7171" max="7171" width="15.6328125" style="2553" customWidth="1"/>
    <col min="7172" max="7172" width="9.36328125" style="2553" bestFit="1" customWidth="1"/>
    <col min="7173" max="7173" width="13.453125" style="2553" customWidth="1"/>
    <col min="7174" max="7174" width="9" style="2553"/>
    <col min="7175" max="7175" width="9.36328125" style="2553" bestFit="1" customWidth="1"/>
    <col min="7176" max="7177" width="9" style="2553"/>
    <col min="7178" max="7178" width="9.36328125" style="2553" bestFit="1" customWidth="1"/>
    <col min="7179" max="7179" width="4" style="2553" customWidth="1"/>
    <col min="7180" max="7180" width="5.08984375" style="2553" customWidth="1"/>
    <col min="7181" max="7181" width="13.7265625" style="2553" customWidth="1"/>
    <col min="7182" max="7424" width="9" style="2553"/>
    <col min="7425" max="7425" width="4.90625" style="2553" customWidth="1"/>
    <col min="7426" max="7426" width="13.26953125" style="2553" customWidth="1"/>
    <col min="7427" max="7427" width="15.6328125" style="2553" customWidth="1"/>
    <col min="7428" max="7428" width="9.36328125" style="2553" bestFit="1" customWidth="1"/>
    <col min="7429" max="7429" width="13.453125" style="2553" customWidth="1"/>
    <col min="7430" max="7430" width="9" style="2553"/>
    <col min="7431" max="7431" width="9.36328125" style="2553" bestFit="1" customWidth="1"/>
    <col min="7432" max="7433" width="9" style="2553"/>
    <col min="7434" max="7434" width="9.36328125" style="2553" bestFit="1" customWidth="1"/>
    <col min="7435" max="7435" width="4" style="2553" customWidth="1"/>
    <col min="7436" max="7436" width="5.08984375" style="2553" customWidth="1"/>
    <col min="7437" max="7437" width="13.7265625" style="2553" customWidth="1"/>
    <col min="7438" max="7680" width="9" style="2553"/>
    <col min="7681" max="7681" width="4.90625" style="2553" customWidth="1"/>
    <col min="7682" max="7682" width="13.26953125" style="2553" customWidth="1"/>
    <col min="7683" max="7683" width="15.6328125" style="2553" customWidth="1"/>
    <col min="7684" max="7684" width="9.36328125" style="2553" bestFit="1" customWidth="1"/>
    <col min="7685" max="7685" width="13.453125" style="2553" customWidth="1"/>
    <col min="7686" max="7686" width="9" style="2553"/>
    <col min="7687" max="7687" width="9.36328125" style="2553" bestFit="1" customWidth="1"/>
    <col min="7688" max="7689" width="9" style="2553"/>
    <col min="7690" max="7690" width="9.36328125" style="2553" bestFit="1" customWidth="1"/>
    <col min="7691" max="7691" width="4" style="2553" customWidth="1"/>
    <col min="7692" max="7692" width="5.08984375" style="2553" customWidth="1"/>
    <col min="7693" max="7693" width="13.7265625" style="2553" customWidth="1"/>
    <col min="7694" max="7936" width="9" style="2553"/>
    <col min="7937" max="7937" width="4.90625" style="2553" customWidth="1"/>
    <col min="7938" max="7938" width="13.26953125" style="2553" customWidth="1"/>
    <col min="7939" max="7939" width="15.6328125" style="2553" customWidth="1"/>
    <col min="7940" max="7940" width="9.36328125" style="2553" bestFit="1" customWidth="1"/>
    <col min="7941" max="7941" width="13.453125" style="2553" customWidth="1"/>
    <col min="7942" max="7942" width="9" style="2553"/>
    <col min="7943" max="7943" width="9.36328125" style="2553" bestFit="1" customWidth="1"/>
    <col min="7944" max="7945" width="9" style="2553"/>
    <col min="7946" max="7946" width="9.36328125" style="2553" bestFit="1" customWidth="1"/>
    <col min="7947" max="7947" width="4" style="2553" customWidth="1"/>
    <col min="7948" max="7948" width="5.08984375" style="2553" customWidth="1"/>
    <col min="7949" max="7949" width="13.7265625" style="2553" customWidth="1"/>
    <col min="7950" max="8192" width="9" style="2553"/>
    <col min="8193" max="8193" width="4.90625" style="2553" customWidth="1"/>
    <col min="8194" max="8194" width="13.26953125" style="2553" customWidth="1"/>
    <col min="8195" max="8195" width="15.6328125" style="2553" customWidth="1"/>
    <col min="8196" max="8196" width="9.36328125" style="2553" bestFit="1" customWidth="1"/>
    <col min="8197" max="8197" width="13.453125" style="2553" customWidth="1"/>
    <col min="8198" max="8198" width="9" style="2553"/>
    <col min="8199" max="8199" width="9.36328125" style="2553" bestFit="1" customWidth="1"/>
    <col min="8200" max="8201" width="9" style="2553"/>
    <col min="8202" max="8202" width="9.36328125" style="2553" bestFit="1" customWidth="1"/>
    <col min="8203" max="8203" width="4" style="2553" customWidth="1"/>
    <col min="8204" max="8204" width="5.08984375" style="2553" customWidth="1"/>
    <col min="8205" max="8205" width="13.7265625" style="2553" customWidth="1"/>
    <col min="8206" max="8448" width="9" style="2553"/>
    <col min="8449" max="8449" width="4.90625" style="2553" customWidth="1"/>
    <col min="8450" max="8450" width="13.26953125" style="2553" customWidth="1"/>
    <col min="8451" max="8451" width="15.6328125" style="2553" customWidth="1"/>
    <col min="8452" max="8452" width="9.36328125" style="2553" bestFit="1" customWidth="1"/>
    <col min="8453" max="8453" width="13.453125" style="2553" customWidth="1"/>
    <col min="8454" max="8454" width="9" style="2553"/>
    <col min="8455" max="8455" width="9.36328125" style="2553" bestFit="1" customWidth="1"/>
    <col min="8456" max="8457" width="9" style="2553"/>
    <col min="8458" max="8458" width="9.36328125" style="2553" bestFit="1" customWidth="1"/>
    <col min="8459" max="8459" width="4" style="2553" customWidth="1"/>
    <col min="8460" max="8460" width="5.08984375" style="2553" customWidth="1"/>
    <col min="8461" max="8461" width="13.7265625" style="2553" customWidth="1"/>
    <col min="8462" max="8704" width="9" style="2553"/>
    <col min="8705" max="8705" width="4.90625" style="2553" customWidth="1"/>
    <col min="8706" max="8706" width="13.26953125" style="2553" customWidth="1"/>
    <col min="8707" max="8707" width="15.6328125" style="2553" customWidth="1"/>
    <col min="8708" max="8708" width="9.36328125" style="2553" bestFit="1" customWidth="1"/>
    <col min="8709" max="8709" width="13.453125" style="2553" customWidth="1"/>
    <col min="8710" max="8710" width="9" style="2553"/>
    <col min="8711" max="8711" width="9.36328125" style="2553" bestFit="1" customWidth="1"/>
    <col min="8712" max="8713" width="9" style="2553"/>
    <col min="8714" max="8714" width="9.36328125" style="2553" bestFit="1" customWidth="1"/>
    <col min="8715" max="8715" width="4" style="2553" customWidth="1"/>
    <col min="8716" max="8716" width="5.08984375" style="2553" customWidth="1"/>
    <col min="8717" max="8717" width="13.7265625" style="2553" customWidth="1"/>
    <col min="8718" max="8960" width="9" style="2553"/>
    <col min="8961" max="8961" width="4.90625" style="2553" customWidth="1"/>
    <col min="8962" max="8962" width="13.26953125" style="2553" customWidth="1"/>
    <col min="8963" max="8963" width="15.6328125" style="2553" customWidth="1"/>
    <col min="8964" max="8964" width="9.36328125" style="2553" bestFit="1" customWidth="1"/>
    <col min="8965" max="8965" width="13.453125" style="2553" customWidth="1"/>
    <col min="8966" max="8966" width="9" style="2553"/>
    <col min="8967" max="8967" width="9.36328125" style="2553" bestFit="1" customWidth="1"/>
    <col min="8968" max="8969" width="9" style="2553"/>
    <col min="8970" max="8970" width="9.36328125" style="2553" bestFit="1" customWidth="1"/>
    <col min="8971" max="8971" width="4" style="2553" customWidth="1"/>
    <col min="8972" max="8972" width="5.08984375" style="2553" customWidth="1"/>
    <col min="8973" max="8973" width="13.7265625" style="2553" customWidth="1"/>
    <col min="8974" max="9216" width="9" style="2553"/>
    <col min="9217" max="9217" width="4.90625" style="2553" customWidth="1"/>
    <col min="9218" max="9218" width="13.26953125" style="2553" customWidth="1"/>
    <col min="9219" max="9219" width="15.6328125" style="2553" customWidth="1"/>
    <col min="9220" max="9220" width="9.36328125" style="2553" bestFit="1" customWidth="1"/>
    <col min="9221" max="9221" width="13.453125" style="2553" customWidth="1"/>
    <col min="9222" max="9222" width="9" style="2553"/>
    <col min="9223" max="9223" width="9.36328125" style="2553" bestFit="1" customWidth="1"/>
    <col min="9224" max="9225" width="9" style="2553"/>
    <col min="9226" max="9226" width="9.36328125" style="2553" bestFit="1" customWidth="1"/>
    <col min="9227" max="9227" width="4" style="2553" customWidth="1"/>
    <col min="9228" max="9228" width="5.08984375" style="2553" customWidth="1"/>
    <col min="9229" max="9229" width="13.7265625" style="2553" customWidth="1"/>
    <col min="9230" max="9472" width="9" style="2553"/>
    <col min="9473" max="9473" width="4.90625" style="2553" customWidth="1"/>
    <col min="9474" max="9474" width="13.26953125" style="2553" customWidth="1"/>
    <col min="9475" max="9475" width="15.6328125" style="2553" customWidth="1"/>
    <col min="9476" max="9476" width="9.36328125" style="2553" bestFit="1" customWidth="1"/>
    <col min="9477" max="9477" width="13.453125" style="2553" customWidth="1"/>
    <col min="9478" max="9478" width="9" style="2553"/>
    <col min="9479" max="9479" width="9.36328125" style="2553" bestFit="1" customWidth="1"/>
    <col min="9480" max="9481" width="9" style="2553"/>
    <col min="9482" max="9482" width="9.36328125" style="2553" bestFit="1" customWidth="1"/>
    <col min="9483" max="9483" width="4" style="2553" customWidth="1"/>
    <col min="9484" max="9484" width="5.08984375" style="2553" customWidth="1"/>
    <col min="9485" max="9485" width="13.7265625" style="2553" customWidth="1"/>
    <col min="9486" max="9728" width="9" style="2553"/>
    <col min="9729" max="9729" width="4.90625" style="2553" customWidth="1"/>
    <col min="9730" max="9730" width="13.26953125" style="2553" customWidth="1"/>
    <col min="9731" max="9731" width="15.6328125" style="2553" customWidth="1"/>
    <col min="9732" max="9732" width="9.36328125" style="2553" bestFit="1" customWidth="1"/>
    <col min="9733" max="9733" width="13.453125" style="2553" customWidth="1"/>
    <col min="9734" max="9734" width="9" style="2553"/>
    <col min="9735" max="9735" width="9.36328125" style="2553" bestFit="1" customWidth="1"/>
    <col min="9736" max="9737" width="9" style="2553"/>
    <col min="9738" max="9738" width="9.36328125" style="2553" bestFit="1" customWidth="1"/>
    <col min="9739" max="9739" width="4" style="2553" customWidth="1"/>
    <col min="9740" max="9740" width="5.08984375" style="2553" customWidth="1"/>
    <col min="9741" max="9741" width="13.7265625" style="2553" customWidth="1"/>
    <col min="9742" max="9984" width="9" style="2553"/>
    <col min="9985" max="9985" width="4.90625" style="2553" customWidth="1"/>
    <col min="9986" max="9986" width="13.26953125" style="2553" customWidth="1"/>
    <col min="9987" max="9987" width="15.6328125" style="2553" customWidth="1"/>
    <col min="9988" max="9988" width="9.36328125" style="2553" bestFit="1" customWidth="1"/>
    <col min="9989" max="9989" width="13.453125" style="2553" customWidth="1"/>
    <col min="9990" max="9990" width="9" style="2553"/>
    <col min="9991" max="9991" width="9.36328125" style="2553" bestFit="1" customWidth="1"/>
    <col min="9992" max="9993" width="9" style="2553"/>
    <col min="9994" max="9994" width="9.36328125" style="2553" bestFit="1" customWidth="1"/>
    <col min="9995" max="9995" width="4" style="2553" customWidth="1"/>
    <col min="9996" max="9996" width="5.08984375" style="2553" customWidth="1"/>
    <col min="9997" max="9997" width="13.7265625" style="2553" customWidth="1"/>
    <col min="9998" max="10240" width="9" style="2553"/>
    <col min="10241" max="10241" width="4.90625" style="2553" customWidth="1"/>
    <col min="10242" max="10242" width="13.26953125" style="2553" customWidth="1"/>
    <col min="10243" max="10243" width="15.6328125" style="2553" customWidth="1"/>
    <col min="10244" max="10244" width="9.36328125" style="2553" bestFit="1" customWidth="1"/>
    <col min="10245" max="10245" width="13.453125" style="2553" customWidth="1"/>
    <col min="10246" max="10246" width="9" style="2553"/>
    <col min="10247" max="10247" width="9.36328125" style="2553" bestFit="1" customWidth="1"/>
    <col min="10248" max="10249" width="9" style="2553"/>
    <col min="10250" max="10250" width="9.36328125" style="2553" bestFit="1" customWidth="1"/>
    <col min="10251" max="10251" width="4" style="2553" customWidth="1"/>
    <col min="10252" max="10252" width="5.08984375" style="2553" customWidth="1"/>
    <col min="10253" max="10253" width="13.7265625" style="2553" customWidth="1"/>
    <col min="10254" max="10496" width="9" style="2553"/>
    <col min="10497" max="10497" width="4.90625" style="2553" customWidth="1"/>
    <col min="10498" max="10498" width="13.26953125" style="2553" customWidth="1"/>
    <col min="10499" max="10499" width="15.6328125" style="2553" customWidth="1"/>
    <col min="10500" max="10500" width="9.36328125" style="2553" bestFit="1" customWidth="1"/>
    <col min="10501" max="10501" width="13.453125" style="2553" customWidth="1"/>
    <col min="10502" max="10502" width="9" style="2553"/>
    <col min="10503" max="10503" width="9.36328125" style="2553" bestFit="1" customWidth="1"/>
    <col min="10504" max="10505" width="9" style="2553"/>
    <col min="10506" max="10506" width="9.36328125" style="2553" bestFit="1" customWidth="1"/>
    <col min="10507" max="10507" width="4" style="2553" customWidth="1"/>
    <col min="10508" max="10508" width="5.08984375" style="2553" customWidth="1"/>
    <col min="10509" max="10509" width="13.7265625" style="2553" customWidth="1"/>
    <col min="10510" max="10752" width="9" style="2553"/>
    <col min="10753" max="10753" width="4.90625" style="2553" customWidth="1"/>
    <col min="10754" max="10754" width="13.26953125" style="2553" customWidth="1"/>
    <col min="10755" max="10755" width="15.6328125" style="2553" customWidth="1"/>
    <col min="10756" max="10756" width="9.36328125" style="2553" bestFit="1" customWidth="1"/>
    <col min="10757" max="10757" width="13.453125" style="2553" customWidth="1"/>
    <col min="10758" max="10758" width="9" style="2553"/>
    <col min="10759" max="10759" width="9.36328125" style="2553" bestFit="1" customWidth="1"/>
    <col min="10760" max="10761" width="9" style="2553"/>
    <col min="10762" max="10762" width="9.36328125" style="2553" bestFit="1" customWidth="1"/>
    <col min="10763" max="10763" width="4" style="2553" customWidth="1"/>
    <col min="10764" max="10764" width="5.08984375" style="2553" customWidth="1"/>
    <col min="10765" max="10765" width="13.7265625" style="2553" customWidth="1"/>
    <col min="10766" max="11008" width="9" style="2553"/>
    <col min="11009" max="11009" width="4.90625" style="2553" customWidth="1"/>
    <col min="11010" max="11010" width="13.26953125" style="2553" customWidth="1"/>
    <col min="11011" max="11011" width="15.6328125" style="2553" customWidth="1"/>
    <col min="11012" max="11012" width="9.36328125" style="2553" bestFit="1" customWidth="1"/>
    <col min="11013" max="11013" width="13.453125" style="2553" customWidth="1"/>
    <col min="11014" max="11014" width="9" style="2553"/>
    <col min="11015" max="11015" width="9.36328125" style="2553" bestFit="1" customWidth="1"/>
    <col min="11016" max="11017" width="9" style="2553"/>
    <col min="11018" max="11018" width="9.36328125" style="2553" bestFit="1" customWidth="1"/>
    <col min="11019" max="11019" width="4" style="2553" customWidth="1"/>
    <col min="11020" max="11020" width="5.08984375" style="2553" customWidth="1"/>
    <col min="11021" max="11021" width="13.7265625" style="2553" customWidth="1"/>
    <col min="11022" max="11264" width="9" style="2553"/>
    <col min="11265" max="11265" width="4.90625" style="2553" customWidth="1"/>
    <col min="11266" max="11266" width="13.26953125" style="2553" customWidth="1"/>
    <col min="11267" max="11267" width="15.6328125" style="2553" customWidth="1"/>
    <col min="11268" max="11268" width="9.36328125" style="2553" bestFit="1" customWidth="1"/>
    <col min="11269" max="11269" width="13.453125" style="2553" customWidth="1"/>
    <col min="11270" max="11270" width="9" style="2553"/>
    <col min="11271" max="11271" width="9.36328125" style="2553" bestFit="1" customWidth="1"/>
    <col min="11272" max="11273" width="9" style="2553"/>
    <col min="11274" max="11274" width="9.36328125" style="2553" bestFit="1" customWidth="1"/>
    <col min="11275" max="11275" width="4" style="2553" customWidth="1"/>
    <col min="11276" max="11276" width="5.08984375" style="2553" customWidth="1"/>
    <col min="11277" max="11277" width="13.7265625" style="2553" customWidth="1"/>
    <col min="11278" max="11520" width="9" style="2553"/>
    <col min="11521" max="11521" width="4.90625" style="2553" customWidth="1"/>
    <col min="11522" max="11522" width="13.26953125" style="2553" customWidth="1"/>
    <col min="11523" max="11523" width="15.6328125" style="2553" customWidth="1"/>
    <col min="11524" max="11524" width="9.36328125" style="2553" bestFit="1" customWidth="1"/>
    <col min="11525" max="11525" width="13.453125" style="2553" customWidth="1"/>
    <col min="11526" max="11526" width="9" style="2553"/>
    <col min="11527" max="11527" width="9.36328125" style="2553" bestFit="1" customWidth="1"/>
    <col min="11528" max="11529" width="9" style="2553"/>
    <col min="11530" max="11530" width="9.36328125" style="2553" bestFit="1" customWidth="1"/>
    <col min="11531" max="11531" width="4" style="2553" customWidth="1"/>
    <col min="11532" max="11532" width="5.08984375" style="2553" customWidth="1"/>
    <col min="11533" max="11533" width="13.7265625" style="2553" customWidth="1"/>
    <col min="11534" max="11776" width="9" style="2553"/>
    <col min="11777" max="11777" width="4.90625" style="2553" customWidth="1"/>
    <col min="11778" max="11778" width="13.26953125" style="2553" customWidth="1"/>
    <col min="11779" max="11779" width="15.6328125" style="2553" customWidth="1"/>
    <col min="11780" max="11780" width="9.36328125" style="2553" bestFit="1" customWidth="1"/>
    <col min="11781" max="11781" width="13.453125" style="2553" customWidth="1"/>
    <col min="11782" max="11782" width="9" style="2553"/>
    <col min="11783" max="11783" width="9.36328125" style="2553" bestFit="1" customWidth="1"/>
    <col min="11784" max="11785" width="9" style="2553"/>
    <col min="11786" max="11786" width="9.36328125" style="2553" bestFit="1" customWidth="1"/>
    <col min="11787" max="11787" width="4" style="2553" customWidth="1"/>
    <col min="11788" max="11788" width="5.08984375" style="2553" customWidth="1"/>
    <col min="11789" max="11789" width="13.7265625" style="2553" customWidth="1"/>
    <col min="11790" max="12032" width="9" style="2553"/>
    <col min="12033" max="12033" width="4.90625" style="2553" customWidth="1"/>
    <col min="12034" max="12034" width="13.26953125" style="2553" customWidth="1"/>
    <col min="12035" max="12035" width="15.6328125" style="2553" customWidth="1"/>
    <col min="12036" max="12036" width="9.36328125" style="2553" bestFit="1" customWidth="1"/>
    <col min="12037" max="12037" width="13.453125" style="2553" customWidth="1"/>
    <col min="12038" max="12038" width="9" style="2553"/>
    <col min="12039" max="12039" width="9.36328125" style="2553" bestFit="1" customWidth="1"/>
    <col min="12040" max="12041" width="9" style="2553"/>
    <col min="12042" max="12042" width="9.36328125" style="2553" bestFit="1" customWidth="1"/>
    <col min="12043" max="12043" width="4" style="2553" customWidth="1"/>
    <col min="12044" max="12044" width="5.08984375" style="2553" customWidth="1"/>
    <col min="12045" max="12045" width="13.7265625" style="2553" customWidth="1"/>
    <col min="12046" max="12288" width="9" style="2553"/>
    <col min="12289" max="12289" width="4.90625" style="2553" customWidth="1"/>
    <col min="12290" max="12290" width="13.26953125" style="2553" customWidth="1"/>
    <col min="12291" max="12291" width="15.6328125" style="2553" customWidth="1"/>
    <col min="12292" max="12292" width="9.36328125" style="2553" bestFit="1" customWidth="1"/>
    <col min="12293" max="12293" width="13.453125" style="2553" customWidth="1"/>
    <col min="12294" max="12294" width="9" style="2553"/>
    <col min="12295" max="12295" width="9.36328125" style="2553" bestFit="1" customWidth="1"/>
    <col min="12296" max="12297" width="9" style="2553"/>
    <col min="12298" max="12298" width="9.36328125" style="2553" bestFit="1" customWidth="1"/>
    <col min="12299" max="12299" width="4" style="2553" customWidth="1"/>
    <col min="12300" max="12300" width="5.08984375" style="2553" customWidth="1"/>
    <col min="12301" max="12301" width="13.7265625" style="2553" customWidth="1"/>
    <col min="12302" max="12544" width="9" style="2553"/>
    <col min="12545" max="12545" width="4.90625" style="2553" customWidth="1"/>
    <col min="12546" max="12546" width="13.26953125" style="2553" customWidth="1"/>
    <col min="12547" max="12547" width="15.6328125" style="2553" customWidth="1"/>
    <col min="12548" max="12548" width="9.36328125" style="2553" bestFit="1" customWidth="1"/>
    <col min="12549" max="12549" width="13.453125" style="2553" customWidth="1"/>
    <col min="12550" max="12550" width="9" style="2553"/>
    <col min="12551" max="12551" width="9.36328125" style="2553" bestFit="1" customWidth="1"/>
    <col min="12552" max="12553" width="9" style="2553"/>
    <col min="12554" max="12554" width="9.36328125" style="2553" bestFit="1" customWidth="1"/>
    <col min="12555" max="12555" width="4" style="2553" customWidth="1"/>
    <col min="12556" max="12556" width="5.08984375" style="2553" customWidth="1"/>
    <col min="12557" max="12557" width="13.7265625" style="2553" customWidth="1"/>
    <col min="12558" max="12800" width="9" style="2553"/>
    <col min="12801" max="12801" width="4.90625" style="2553" customWidth="1"/>
    <col min="12802" max="12802" width="13.26953125" style="2553" customWidth="1"/>
    <col min="12803" max="12803" width="15.6328125" style="2553" customWidth="1"/>
    <col min="12804" max="12804" width="9.36328125" style="2553" bestFit="1" customWidth="1"/>
    <col min="12805" max="12805" width="13.453125" style="2553" customWidth="1"/>
    <col min="12806" max="12806" width="9" style="2553"/>
    <col min="12807" max="12807" width="9.36328125" style="2553" bestFit="1" customWidth="1"/>
    <col min="12808" max="12809" width="9" style="2553"/>
    <col min="12810" max="12810" width="9.36328125" style="2553" bestFit="1" customWidth="1"/>
    <col min="12811" max="12811" width="4" style="2553" customWidth="1"/>
    <col min="12812" max="12812" width="5.08984375" style="2553" customWidth="1"/>
    <col min="12813" max="12813" width="13.7265625" style="2553" customWidth="1"/>
    <col min="12814" max="13056" width="9" style="2553"/>
    <col min="13057" max="13057" width="4.90625" style="2553" customWidth="1"/>
    <col min="13058" max="13058" width="13.26953125" style="2553" customWidth="1"/>
    <col min="13059" max="13059" width="15.6328125" style="2553" customWidth="1"/>
    <col min="13060" max="13060" width="9.36328125" style="2553" bestFit="1" customWidth="1"/>
    <col min="13061" max="13061" width="13.453125" style="2553" customWidth="1"/>
    <col min="13062" max="13062" width="9" style="2553"/>
    <col min="13063" max="13063" width="9.36328125" style="2553" bestFit="1" customWidth="1"/>
    <col min="13064" max="13065" width="9" style="2553"/>
    <col min="13066" max="13066" width="9.36328125" style="2553" bestFit="1" customWidth="1"/>
    <col min="13067" max="13067" width="4" style="2553" customWidth="1"/>
    <col min="13068" max="13068" width="5.08984375" style="2553" customWidth="1"/>
    <col min="13069" max="13069" width="13.7265625" style="2553" customWidth="1"/>
    <col min="13070" max="13312" width="9" style="2553"/>
    <col min="13313" max="13313" width="4.90625" style="2553" customWidth="1"/>
    <col min="13314" max="13314" width="13.26953125" style="2553" customWidth="1"/>
    <col min="13315" max="13315" width="15.6328125" style="2553" customWidth="1"/>
    <col min="13316" max="13316" width="9.36328125" style="2553" bestFit="1" customWidth="1"/>
    <col min="13317" max="13317" width="13.453125" style="2553" customWidth="1"/>
    <col min="13318" max="13318" width="9" style="2553"/>
    <col min="13319" max="13319" width="9.36328125" style="2553" bestFit="1" customWidth="1"/>
    <col min="13320" max="13321" width="9" style="2553"/>
    <col min="13322" max="13322" width="9.36328125" style="2553" bestFit="1" customWidth="1"/>
    <col min="13323" max="13323" width="4" style="2553" customWidth="1"/>
    <col min="13324" max="13324" width="5.08984375" style="2553" customWidth="1"/>
    <col min="13325" max="13325" width="13.7265625" style="2553" customWidth="1"/>
    <col min="13326" max="13568" width="9" style="2553"/>
    <col min="13569" max="13569" width="4.90625" style="2553" customWidth="1"/>
    <col min="13570" max="13570" width="13.26953125" style="2553" customWidth="1"/>
    <col min="13571" max="13571" width="15.6328125" style="2553" customWidth="1"/>
    <col min="13572" max="13572" width="9.36328125" style="2553" bestFit="1" customWidth="1"/>
    <col min="13573" max="13573" width="13.453125" style="2553" customWidth="1"/>
    <col min="13574" max="13574" width="9" style="2553"/>
    <col min="13575" max="13575" width="9.36328125" style="2553" bestFit="1" customWidth="1"/>
    <col min="13576" max="13577" width="9" style="2553"/>
    <col min="13578" max="13578" width="9.36328125" style="2553" bestFit="1" customWidth="1"/>
    <col min="13579" max="13579" width="4" style="2553" customWidth="1"/>
    <col min="13580" max="13580" width="5.08984375" style="2553" customWidth="1"/>
    <col min="13581" max="13581" width="13.7265625" style="2553" customWidth="1"/>
    <col min="13582" max="13824" width="9" style="2553"/>
    <col min="13825" max="13825" width="4.90625" style="2553" customWidth="1"/>
    <col min="13826" max="13826" width="13.26953125" style="2553" customWidth="1"/>
    <col min="13827" max="13827" width="15.6328125" style="2553" customWidth="1"/>
    <col min="13828" max="13828" width="9.36328125" style="2553" bestFit="1" customWidth="1"/>
    <col min="13829" max="13829" width="13.453125" style="2553" customWidth="1"/>
    <col min="13830" max="13830" width="9" style="2553"/>
    <col min="13831" max="13831" width="9.36328125" style="2553" bestFit="1" customWidth="1"/>
    <col min="13832" max="13833" width="9" style="2553"/>
    <col min="13834" max="13834" width="9.36328125" style="2553" bestFit="1" customWidth="1"/>
    <col min="13835" max="13835" width="4" style="2553" customWidth="1"/>
    <col min="13836" max="13836" width="5.08984375" style="2553" customWidth="1"/>
    <col min="13837" max="13837" width="13.7265625" style="2553" customWidth="1"/>
    <col min="13838" max="14080" width="9" style="2553"/>
    <col min="14081" max="14081" width="4.90625" style="2553" customWidth="1"/>
    <col min="14082" max="14082" width="13.26953125" style="2553" customWidth="1"/>
    <col min="14083" max="14083" width="15.6328125" style="2553" customWidth="1"/>
    <col min="14084" max="14084" width="9.36328125" style="2553" bestFit="1" customWidth="1"/>
    <col min="14085" max="14085" width="13.453125" style="2553" customWidth="1"/>
    <col min="14086" max="14086" width="9" style="2553"/>
    <col min="14087" max="14087" width="9.36328125" style="2553" bestFit="1" customWidth="1"/>
    <col min="14088" max="14089" width="9" style="2553"/>
    <col min="14090" max="14090" width="9.36328125" style="2553" bestFit="1" customWidth="1"/>
    <col min="14091" max="14091" width="4" style="2553" customWidth="1"/>
    <col min="14092" max="14092" width="5.08984375" style="2553" customWidth="1"/>
    <col min="14093" max="14093" width="13.7265625" style="2553" customWidth="1"/>
    <col min="14094" max="14336" width="9" style="2553"/>
    <col min="14337" max="14337" width="4.90625" style="2553" customWidth="1"/>
    <col min="14338" max="14338" width="13.26953125" style="2553" customWidth="1"/>
    <col min="14339" max="14339" width="15.6328125" style="2553" customWidth="1"/>
    <col min="14340" max="14340" width="9.36328125" style="2553" bestFit="1" customWidth="1"/>
    <col min="14341" max="14341" width="13.453125" style="2553" customWidth="1"/>
    <col min="14342" max="14342" width="9" style="2553"/>
    <col min="14343" max="14343" width="9.36328125" style="2553" bestFit="1" customWidth="1"/>
    <col min="14344" max="14345" width="9" style="2553"/>
    <col min="14346" max="14346" width="9.36328125" style="2553" bestFit="1" customWidth="1"/>
    <col min="14347" max="14347" width="4" style="2553" customWidth="1"/>
    <col min="14348" max="14348" width="5.08984375" style="2553" customWidth="1"/>
    <col min="14349" max="14349" width="13.7265625" style="2553" customWidth="1"/>
    <col min="14350" max="14592" width="9" style="2553"/>
    <col min="14593" max="14593" width="4.90625" style="2553" customWidth="1"/>
    <col min="14594" max="14594" width="13.26953125" style="2553" customWidth="1"/>
    <col min="14595" max="14595" width="15.6328125" style="2553" customWidth="1"/>
    <col min="14596" max="14596" width="9.36328125" style="2553" bestFit="1" customWidth="1"/>
    <col min="14597" max="14597" width="13.453125" style="2553" customWidth="1"/>
    <col min="14598" max="14598" width="9" style="2553"/>
    <col min="14599" max="14599" width="9.36328125" style="2553" bestFit="1" customWidth="1"/>
    <col min="14600" max="14601" width="9" style="2553"/>
    <col min="14602" max="14602" width="9.36328125" style="2553" bestFit="1" customWidth="1"/>
    <col min="14603" max="14603" width="4" style="2553" customWidth="1"/>
    <col min="14604" max="14604" width="5.08984375" style="2553" customWidth="1"/>
    <col min="14605" max="14605" width="13.7265625" style="2553" customWidth="1"/>
    <col min="14606" max="14848" width="9" style="2553"/>
    <col min="14849" max="14849" width="4.90625" style="2553" customWidth="1"/>
    <col min="14850" max="14850" width="13.26953125" style="2553" customWidth="1"/>
    <col min="14851" max="14851" width="15.6328125" style="2553" customWidth="1"/>
    <col min="14852" max="14852" width="9.36328125" style="2553" bestFit="1" customWidth="1"/>
    <col min="14853" max="14853" width="13.453125" style="2553" customWidth="1"/>
    <col min="14854" max="14854" width="9" style="2553"/>
    <col min="14855" max="14855" width="9.36328125" style="2553" bestFit="1" customWidth="1"/>
    <col min="14856" max="14857" width="9" style="2553"/>
    <col min="14858" max="14858" width="9.36328125" style="2553" bestFit="1" customWidth="1"/>
    <col min="14859" max="14859" width="4" style="2553" customWidth="1"/>
    <col min="14860" max="14860" width="5.08984375" style="2553" customWidth="1"/>
    <col min="14861" max="14861" width="13.7265625" style="2553" customWidth="1"/>
    <col min="14862" max="15104" width="9" style="2553"/>
    <col min="15105" max="15105" width="4.90625" style="2553" customWidth="1"/>
    <col min="15106" max="15106" width="13.26953125" style="2553" customWidth="1"/>
    <col min="15107" max="15107" width="15.6328125" style="2553" customWidth="1"/>
    <col min="15108" max="15108" width="9.36328125" style="2553" bestFit="1" customWidth="1"/>
    <col min="15109" max="15109" width="13.453125" style="2553" customWidth="1"/>
    <col min="15110" max="15110" width="9" style="2553"/>
    <col min="15111" max="15111" width="9.36328125" style="2553" bestFit="1" customWidth="1"/>
    <col min="15112" max="15113" width="9" style="2553"/>
    <col min="15114" max="15114" width="9.36328125" style="2553" bestFit="1" customWidth="1"/>
    <col min="15115" max="15115" width="4" style="2553" customWidth="1"/>
    <col min="15116" max="15116" width="5.08984375" style="2553" customWidth="1"/>
    <col min="15117" max="15117" width="13.7265625" style="2553" customWidth="1"/>
    <col min="15118" max="15360" width="9" style="2553"/>
    <col min="15361" max="15361" width="4.90625" style="2553" customWidth="1"/>
    <col min="15362" max="15362" width="13.26953125" style="2553" customWidth="1"/>
    <col min="15363" max="15363" width="15.6328125" style="2553" customWidth="1"/>
    <col min="15364" max="15364" width="9.36328125" style="2553" bestFit="1" customWidth="1"/>
    <col min="15365" max="15365" width="13.453125" style="2553" customWidth="1"/>
    <col min="15366" max="15366" width="9" style="2553"/>
    <col min="15367" max="15367" width="9.36328125" style="2553" bestFit="1" customWidth="1"/>
    <col min="15368" max="15369" width="9" style="2553"/>
    <col min="15370" max="15370" width="9.36328125" style="2553" bestFit="1" customWidth="1"/>
    <col min="15371" max="15371" width="4" style="2553" customWidth="1"/>
    <col min="15372" max="15372" width="5.08984375" style="2553" customWidth="1"/>
    <col min="15373" max="15373" width="13.7265625" style="2553" customWidth="1"/>
    <col min="15374" max="15616" width="9" style="2553"/>
    <col min="15617" max="15617" width="4.90625" style="2553" customWidth="1"/>
    <col min="15618" max="15618" width="13.26953125" style="2553" customWidth="1"/>
    <col min="15619" max="15619" width="15.6328125" style="2553" customWidth="1"/>
    <col min="15620" max="15620" width="9.36328125" style="2553" bestFit="1" customWidth="1"/>
    <col min="15621" max="15621" width="13.453125" style="2553" customWidth="1"/>
    <col min="15622" max="15622" width="9" style="2553"/>
    <col min="15623" max="15623" width="9.36328125" style="2553" bestFit="1" customWidth="1"/>
    <col min="15624" max="15625" width="9" style="2553"/>
    <col min="15626" max="15626" width="9.36328125" style="2553" bestFit="1" customWidth="1"/>
    <col min="15627" max="15627" width="4" style="2553" customWidth="1"/>
    <col min="15628" max="15628" width="5.08984375" style="2553" customWidth="1"/>
    <col min="15629" max="15629" width="13.7265625" style="2553" customWidth="1"/>
    <col min="15630" max="15872" width="9" style="2553"/>
    <col min="15873" max="15873" width="4.90625" style="2553" customWidth="1"/>
    <col min="15874" max="15874" width="13.26953125" style="2553" customWidth="1"/>
    <col min="15875" max="15875" width="15.6328125" style="2553" customWidth="1"/>
    <col min="15876" max="15876" width="9.36328125" style="2553" bestFit="1" customWidth="1"/>
    <col min="15877" max="15877" width="13.453125" style="2553" customWidth="1"/>
    <col min="15878" max="15878" width="9" style="2553"/>
    <col min="15879" max="15879" width="9.36328125" style="2553" bestFit="1" customWidth="1"/>
    <col min="15880" max="15881" width="9" style="2553"/>
    <col min="15882" max="15882" width="9.36328125" style="2553" bestFit="1" customWidth="1"/>
    <col min="15883" max="15883" width="4" style="2553" customWidth="1"/>
    <col min="15884" max="15884" width="5.08984375" style="2553" customWidth="1"/>
    <col min="15885" max="15885" width="13.7265625" style="2553" customWidth="1"/>
    <col min="15886" max="16128" width="9" style="2553"/>
    <col min="16129" max="16129" width="4.90625" style="2553" customWidth="1"/>
    <col min="16130" max="16130" width="13.26953125" style="2553" customWidth="1"/>
    <col min="16131" max="16131" width="15.6328125" style="2553" customWidth="1"/>
    <col min="16132" max="16132" width="9.36328125" style="2553" bestFit="1" customWidth="1"/>
    <col min="16133" max="16133" width="13.453125" style="2553" customWidth="1"/>
    <col min="16134" max="16134" width="9" style="2553"/>
    <col min="16135" max="16135" width="9.36328125" style="2553" bestFit="1" customWidth="1"/>
    <col min="16136" max="16137" width="9" style="2553"/>
    <col min="16138" max="16138" width="9.36328125" style="2553" bestFit="1" customWidth="1"/>
    <col min="16139" max="16139" width="4" style="2553" customWidth="1"/>
    <col min="16140" max="16140" width="5.08984375" style="2553" customWidth="1"/>
    <col min="16141" max="16141" width="13.7265625" style="2553" customWidth="1"/>
    <col min="16142" max="16384" width="9" style="2553"/>
  </cols>
  <sheetData>
    <row r="1" spans="1:257" s="2550" customFormat="1" ht="14.5" thickBot="1">
      <c r="A1" s="2544"/>
      <c r="B1" s="2545" t="s">
        <v>815</v>
      </c>
      <c r="C1" s="2684">
        <f>项目基本情况!D3</f>
        <v>44853</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5"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4.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21">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3">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30">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5">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5">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5">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5">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6.5">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5">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5">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6953125" defaultRowHeight="14"/>
  <cols>
    <col min="1" max="16384" width="13.26953125" style="2376"/>
  </cols>
  <sheetData>
    <row r="1" spans="1:6">
      <c r="A1" s="3180" t="s">
        <v>2706</v>
      </c>
      <c r="B1" s="3180"/>
      <c r="C1" s="3180"/>
      <c r="D1" s="3180"/>
      <c r="E1" s="3180"/>
      <c r="F1" s="3181"/>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82" customWidth="1"/>
    <col min="2" max="9" width="12.08984375" style="982" customWidth="1"/>
    <col min="10" max="16384" width="9" style="982"/>
  </cols>
  <sheetData>
    <row r="1" spans="1:9" ht="18.5" thickBot="1">
      <c r="A1" s="2858" t="str">
        <f>IF(项目基本情况!B9="房地产市场价值","估价结果一览表","结果表-2")</f>
        <v>结果表-2</v>
      </c>
      <c r="B1" s="2858"/>
      <c r="C1" s="2858"/>
      <c r="D1" s="2858"/>
      <c r="E1" s="2858"/>
      <c r="F1" s="2858"/>
      <c r="G1" s="2858"/>
      <c r="H1" s="2858"/>
      <c r="I1" s="2858"/>
    </row>
    <row r="2" spans="1:9" ht="30" customHeight="1" thickTop="1">
      <c r="A2" s="2859" t="s">
        <v>1145</v>
      </c>
      <c r="B2" s="2859" t="s">
        <v>1146</v>
      </c>
      <c r="C2" s="2859" t="s">
        <v>1147</v>
      </c>
      <c r="D2" s="2859" t="str">
        <f>结果表!D116</f>
        <v>出让国有建设用地使用权价值</v>
      </c>
      <c r="E2" s="2859"/>
      <c r="F2" s="2859" t="str">
        <f>结果表!F116</f>
        <v>在建建筑物价值</v>
      </c>
      <c r="G2" s="2859"/>
      <c r="H2" s="2859" t="str">
        <f>IF(项目基本情况!B9="房地产市场价值","房地产市场价值","房地产价值")</f>
        <v>房地产价值</v>
      </c>
      <c r="I2" s="2859"/>
    </row>
    <row r="3" spans="1:9" ht="16">
      <c r="A3" s="2854"/>
      <c r="B3" s="2854"/>
      <c r="C3" s="2854"/>
      <c r="D3" s="2632" t="s">
        <v>1142</v>
      </c>
      <c r="E3" s="2632" t="s">
        <v>1148</v>
      </c>
      <c r="F3" s="2632" t="s">
        <v>1142</v>
      </c>
      <c r="G3" s="2632" t="s">
        <v>1143</v>
      </c>
      <c r="H3" s="2632" t="s">
        <v>1142</v>
      </c>
      <c r="I3" s="2632" t="s">
        <v>1143</v>
      </c>
    </row>
    <row r="4" spans="1:9" ht="15.5">
      <c r="A4" s="2633" t="str">
        <f>项目基本情况!S2</f>
        <v>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54" t="s">
        <v>1144</v>
      </c>
      <c r="B5" s="2854"/>
      <c r="C5" s="2854"/>
      <c r="D5" s="2854" t="e">
        <f ca="1">结果表!D119</f>
        <v>#REF!</v>
      </c>
      <c r="E5" s="2854"/>
      <c r="F5" s="2854" t="e">
        <f ca="1">结果表!F119</f>
        <v>#REF!</v>
      </c>
      <c r="G5" s="2854"/>
      <c r="H5" s="2854" t="e">
        <f ca="1">结果表!H119</f>
        <v>#REF!</v>
      </c>
      <c r="I5" s="2854"/>
    </row>
    <row r="6" spans="1:9" ht="15.5">
      <c r="A6" s="2853" t="str">
        <f>结果表!A120</f>
        <v>估价师知悉的法定优先受偿款</v>
      </c>
      <c r="B6" s="2853"/>
      <c r="C6" s="2853"/>
      <c r="D6" s="2853">
        <f>结果表!D120</f>
        <v>0</v>
      </c>
      <c r="E6" s="2853"/>
      <c r="F6" s="2853"/>
      <c r="G6" s="2853"/>
      <c r="H6" s="2853"/>
      <c r="I6" s="2853"/>
    </row>
    <row r="7" spans="1:9" ht="15.5">
      <c r="A7" s="2854" t="s">
        <v>1144</v>
      </c>
      <c r="B7" s="2854"/>
      <c r="C7" s="2854"/>
      <c r="D7" s="2855" t="str">
        <f>结果表!D121</f>
        <v>零元整</v>
      </c>
      <c r="E7" s="2856"/>
      <c r="F7" s="2856"/>
      <c r="G7" s="2856"/>
      <c r="H7" s="2856"/>
      <c r="I7" s="2857"/>
    </row>
    <row r="8" spans="1:9" ht="15.5">
      <c r="A8" s="2853" t="str">
        <f>结果表!A122</f>
        <v>房地产抵押价值</v>
      </c>
      <c r="B8" s="2853"/>
      <c r="C8" s="2853"/>
      <c r="D8" s="2853" t="e">
        <f ca="1">结果表!D122</f>
        <v>#REF!</v>
      </c>
      <c r="E8" s="2853"/>
      <c r="F8" s="2853"/>
      <c r="G8" s="2853"/>
      <c r="H8" s="2853"/>
      <c r="I8" s="2853"/>
    </row>
    <row r="9" spans="1:9" ht="15.5">
      <c r="A9" s="2854" t="s">
        <v>1144</v>
      </c>
      <c r="B9" s="2854"/>
      <c r="C9" s="2854"/>
      <c r="D9" s="2854" t="e">
        <f ca="1">结果表!D123</f>
        <v>#REF!</v>
      </c>
      <c r="E9" s="2854"/>
      <c r="F9" s="2854"/>
      <c r="G9" s="2854"/>
      <c r="H9" s="2854"/>
      <c r="I9" s="2854"/>
    </row>
    <row r="10" spans="1:9" ht="15.5">
      <c r="A10" s="2853" t="str">
        <f>结果表!A124</f>
        <v/>
      </c>
      <c r="B10" s="2853"/>
      <c r="C10" s="2853"/>
      <c r="D10" s="2853" t="str">
        <f>结果表!D124</f>
        <v>——</v>
      </c>
      <c r="E10" s="2853"/>
      <c r="F10" s="2853"/>
      <c r="G10" s="2853"/>
      <c r="H10" s="2853"/>
      <c r="I10" s="2853"/>
    </row>
    <row r="11" spans="1:9" ht="15.5">
      <c r="A11" s="2854" t="s">
        <v>1144</v>
      </c>
      <c r="B11" s="2854"/>
      <c r="C11" s="2854"/>
      <c r="D11" s="2854" t="e">
        <f>结果表!D125</f>
        <v>#VALUE!</v>
      </c>
      <c r="E11" s="2854"/>
      <c r="F11" s="2854"/>
      <c r="G11" s="2854"/>
      <c r="H11" s="2854"/>
      <c r="I11" s="2854"/>
    </row>
    <row r="12" spans="1:9" ht="15.5">
      <c r="A12" s="2853" t="str">
        <f>结果表!A126</f>
        <v/>
      </c>
      <c r="B12" s="2853"/>
      <c r="C12" s="2853"/>
      <c r="D12" s="2853" t="str">
        <f>结果表!D126</f>
        <v>——</v>
      </c>
      <c r="E12" s="2853"/>
      <c r="F12" s="2853"/>
      <c r="G12" s="2853"/>
      <c r="H12" s="2853"/>
      <c r="I12" s="2853"/>
    </row>
    <row r="13" spans="1:9" ht="16" thickBot="1">
      <c r="A13" s="2851" t="s">
        <v>1144</v>
      </c>
      <c r="B13" s="2851"/>
      <c r="C13" s="2851"/>
      <c r="D13" s="2851" t="e">
        <f>结果表!D127</f>
        <v>#VALUE!</v>
      </c>
      <c r="E13" s="2851"/>
      <c r="F13" s="2851"/>
      <c r="G13" s="2851"/>
      <c r="H13" s="2851"/>
      <c r="I13" s="2851"/>
    </row>
    <row r="14" spans="1:9" ht="14.5" thickTop="1">
      <c r="A14" s="2852" t="s">
        <v>1149</v>
      </c>
      <c r="B14" s="2852"/>
      <c r="C14" s="2852"/>
      <c r="D14" s="2852"/>
      <c r="E14" s="2852"/>
      <c r="F14" s="2852"/>
      <c r="G14" s="2852"/>
      <c r="H14" s="2852"/>
      <c r="I14" s="2852"/>
    </row>
    <row r="16" spans="1:9" ht="17.5">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
  <cols>
    <col min="1" max="1" width="16.6328125" style="982" customWidth="1"/>
    <col min="2" max="3" width="22.36328125" style="982" customWidth="1"/>
    <col min="4" max="4" width="23" style="982" customWidth="1"/>
    <col min="5" max="16384" width="9" style="982"/>
  </cols>
  <sheetData>
    <row r="1" spans="1:4" ht="18">
      <c r="A1" s="2866" t="s">
        <v>1166</v>
      </c>
      <c r="B1" s="2866"/>
      <c r="C1" s="2866"/>
      <c r="D1" s="2866"/>
    </row>
    <row r="2" spans="1:4" ht="18">
      <c r="A2" s="2867" t="s">
        <v>1150</v>
      </c>
      <c r="B2" s="2867"/>
      <c r="C2" s="2867"/>
      <c r="D2" s="2867"/>
    </row>
    <row r="3" spans="1:4" ht="17.5">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8">
      <c r="A6" s="2867" t="s">
        <v>1156</v>
      </c>
      <c r="B6" s="2867"/>
      <c r="C6" s="2867"/>
      <c r="D6" s="2867"/>
    </row>
    <row r="7" spans="1:4" ht="17.5">
      <c r="A7" s="2655" t="s">
        <v>1151</v>
      </c>
      <c r="B7" s="2656" t="s">
        <v>1157</v>
      </c>
      <c r="C7" s="2655" t="s">
        <v>1153</v>
      </c>
      <c r="D7" s="2655" t="s">
        <v>1154</v>
      </c>
    </row>
    <row r="8" spans="1:4" ht="56.25" customHeight="1">
      <c r="A8" s="2660" t="s">
        <v>599</v>
      </c>
      <c r="B8" s="2660" t="s">
        <v>0</v>
      </c>
      <c r="C8" s="2657"/>
      <c r="D8" s="2658" t="s">
        <v>1155</v>
      </c>
    </row>
    <row r="10" spans="1:4" ht="18">
      <c r="A10" s="2661" t="s">
        <v>1158</v>
      </c>
    </row>
    <row r="11" spans="1:4" ht="30" customHeight="1">
      <c r="A11" s="2868" t="s">
        <v>1159</v>
      </c>
      <c r="B11" s="2860"/>
      <c r="C11" s="2860"/>
      <c r="D11" s="2860"/>
    </row>
    <row r="12" spans="1:4" ht="15.5">
      <c r="A12" s="2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65"/>
      <c r="C12" s="2865"/>
      <c r="D12" s="2865"/>
    </row>
    <row r="13" spans="1:4" ht="30" customHeight="1">
      <c r="A13" s="2860" t="str">
        <f>IF(项目基本情况!B8="抵押","3.抵押双方在办理抵押登记手续时，应使用本公司出具的正式《房地产评估报告》，特提醒报告使用者注意。","——")</f>
        <v>——</v>
      </c>
      <c r="B13" s="2865"/>
      <c r="C13" s="2865"/>
      <c r="D13" s="2865"/>
    </row>
    <row r="14" spans="1:4" ht="15.75" customHeight="1">
      <c r="A14" s="2860" t="str">
        <f>IF(项目基本情况!B8="抵押","4.本次评估估价师所知悉的法定优先受偿款情况说明如下：","——")</f>
        <v>——</v>
      </c>
      <c r="B14" s="2865"/>
      <c r="C14" s="2865"/>
      <c r="D14" s="2865"/>
    </row>
    <row r="15" spans="1:4" ht="42" customHeight="1">
      <c r="A15" s="2860" t="str">
        <f>IF(项目基本情况!B8="抵押","（1）"&amp;CONCATENATE(项目基本情况!L20,项目基本情况!L21,项目基本情况!L22),"——")</f>
        <v>——</v>
      </c>
      <c r="B15" s="2860"/>
      <c r="C15" s="2860"/>
      <c r="D15" s="2860"/>
    </row>
    <row r="16" spans="1:4" ht="30" customHeight="1">
      <c r="A16" s="2862" t="s">
        <v>1160</v>
      </c>
      <c r="B16" s="2862"/>
      <c r="C16" s="2862"/>
      <c r="D16" s="2862"/>
    </row>
    <row r="17" spans="1:4" ht="144" customHeight="1">
      <c r="A17" s="2862" t="s">
        <v>1161</v>
      </c>
      <c r="B17" s="2862"/>
      <c r="C17" s="2862"/>
      <c r="D17" s="2862"/>
    </row>
    <row r="18" spans="1:4" ht="15.75" customHeight="1">
      <c r="A18" s="2860" t="str">
        <f>IF(项目基本情况!B8="抵押",结果表!K120,"——")</f>
        <v>——</v>
      </c>
      <c r="B18" s="2860"/>
      <c r="C18" s="2860"/>
      <c r="D18" s="2860"/>
    </row>
    <row r="19" spans="1:4" ht="46.5" customHeight="1">
      <c r="A19" s="2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60"/>
      <c r="C19" s="2860"/>
      <c r="D19" s="2860"/>
    </row>
    <row r="20" spans="1:4" ht="57.75" customHeight="1">
      <c r="A20" s="2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0"/>
      <c r="C20" s="2860"/>
      <c r="D20" s="2860"/>
    </row>
    <row r="21" spans="1:4" ht="57.75" customHeight="1">
      <c r="A21" s="2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3"/>
      <c r="C21" s="2863"/>
      <c r="D21" s="2863"/>
    </row>
    <row r="22" spans="1:4" ht="18.75" customHeight="1">
      <c r="A22" s="2864" t="s">
        <v>1162</v>
      </c>
      <c r="B22" s="2864"/>
      <c r="C22" s="2864"/>
      <c r="D22" s="2864"/>
    </row>
    <row r="23" spans="1:4">
      <c r="A23" s="2662"/>
      <c r="B23" s="979"/>
      <c r="C23" s="979"/>
      <c r="D23" s="979"/>
    </row>
    <row r="24" spans="1:4">
      <c r="A24" s="2662"/>
      <c r="B24" s="979"/>
      <c r="C24" s="979"/>
      <c r="D24" s="979"/>
    </row>
    <row r="25" spans="1:4" ht="17.5">
      <c r="A25" s="2663" t="s">
        <v>1163</v>
      </c>
    </row>
    <row r="26" spans="1:4" ht="17.5">
      <c r="A26" s="2664"/>
    </row>
    <row r="27" spans="1:4" ht="17.5">
      <c r="A27" s="2664" t="s">
        <v>1164</v>
      </c>
    </row>
    <row r="30" spans="1:4" ht="17.5">
      <c r="D30" s="2663" t="s">
        <v>1165</v>
      </c>
    </row>
    <row r="31" spans="1:4" ht="13.5" customHeight="1">
      <c r="C31" s="2861">
        <v>42551</v>
      </c>
      <c r="D31" s="286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65" customWidth="1"/>
    <col min="3" max="10" width="12.453125" style="165" customWidth="1"/>
    <col min="11" max="16384" width="9" style="165"/>
  </cols>
  <sheetData>
    <row r="1" spans="1:1" ht="17.5">
      <c r="A1" s="178" t="s">
        <v>600</v>
      </c>
    </row>
    <row r="2" spans="1:1" ht="17.5">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84" customWidth="1"/>
    <col min="2" max="16384" width="14.453125" style="177"/>
  </cols>
  <sheetData>
    <row r="1" spans="1:7" s="181" customFormat="1" ht="17.5">
      <c r="A1" s="180" t="s">
        <v>1167</v>
      </c>
    </row>
    <row r="3" spans="1:7">
      <c r="A3" s="182" t="s">
        <v>58</v>
      </c>
      <c r="B3" s="177" t="s">
        <v>1168</v>
      </c>
      <c r="G3" s="183"/>
    </row>
    <row r="4" spans="1:7">
      <c r="G4" s="183"/>
    </row>
    <row r="5" spans="1:7">
      <c r="A5" s="185" t="s">
        <v>49</v>
      </c>
      <c r="B5" s="177" t="s">
        <v>1169</v>
      </c>
      <c r="G5" s="183"/>
    </row>
    <row r="6" spans="1:7">
      <c r="G6" s="183"/>
    </row>
    <row r="7" spans="1:7">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4">
      <c r="A15" s="2874" t="s">
        <v>1173</v>
      </c>
      <c r="B15" s="2869" t="s">
        <v>112</v>
      </c>
      <c r="C15" s="2870"/>
    </row>
    <row r="16" spans="1:7" ht="14">
      <c r="A16" s="2875"/>
      <c r="B16" s="2869" t="s">
        <v>45</v>
      </c>
      <c r="C16" s="2870"/>
    </row>
    <row r="17" spans="1:3" ht="14">
      <c r="A17" s="2875"/>
      <c r="B17" s="2872" t="s">
        <v>1174</v>
      </c>
      <c r="C17" s="191" t="s">
        <v>1173</v>
      </c>
    </row>
    <row r="18" spans="1:3" ht="14">
      <c r="A18" s="2875"/>
      <c r="B18" s="2872"/>
      <c r="C18" s="191" t="s">
        <v>1175</v>
      </c>
    </row>
    <row r="19" spans="1:3" ht="14">
      <c r="A19" s="2875"/>
      <c r="B19" s="2872"/>
      <c r="C19" s="191" t="s">
        <v>1176</v>
      </c>
    </row>
    <row r="20" spans="1:3" ht="14">
      <c r="A20" s="2876"/>
      <c r="B20" s="2871" t="s">
        <v>1177</v>
      </c>
      <c r="C20" s="2870"/>
    </row>
    <row r="21" spans="1:3" ht="14">
      <c r="A21" s="192" t="s">
        <v>1178</v>
      </c>
      <c r="B21" s="193"/>
      <c r="C21" s="194"/>
    </row>
    <row r="22" spans="1:3" ht="14">
      <c r="A22" s="2873" t="s">
        <v>1179</v>
      </c>
      <c r="B22" s="2871" t="s">
        <v>1180</v>
      </c>
      <c r="C22" s="2870"/>
    </row>
    <row r="23" spans="1:3" ht="14">
      <c r="A23" s="2873"/>
      <c r="B23" s="2871" t="s">
        <v>1181</v>
      </c>
      <c r="C23" s="2870"/>
    </row>
    <row r="24" spans="1:3" ht="14">
      <c r="A24" s="2873"/>
      <c r="B24" s="2871" t="s">
        <v>1182</v>
      </c>
      <c r="C24" s="2870"/>
    </row>
    <row r="25" spans="1:3" ht="14">
      <c r="A25" s="2873"/>
      <c r="B25" s="2872" t="s">
        <v>1183</v>
      </c>
      <c r="C25" s="191" t="s">
        <v>1184</v>
      </c>
    </row>
    <row r="26" spans="1:3" ht="14">
      <c r="A26" s="2873"/>
      <c r="B26" s="2872"/>
      <c r="C26" s="191" t="s">
        <v>1185</v>
      </c>
    </row>
    <row r="27" spans="1:3" ht="14">
      <c r="A27" s="2873"/>
      <c r="B27" s="2872"/>
      <c r="C27" s="191" t="s">
        <v>1186</v>
      </c>
    </row>
    <row r="28" spans="1:3" ht="14">
      <c r="A28" s="2873"/>
      <c r="B28" s="2872"/>
      <c r="C28" s="191" t="s">
        <v>1187</v>
      </c>
    </row>
    <row r="29" spans="1:3" ht="14">
      <c r="A29" s="2873"/>
      <c r="B29" s="2872"/>
      <c r="C29" s="191" t="s">
        <v>1188</v>
      </c>
    </row>
    <row r="30" spans="1:3" ht="14">
      <c r="A30" s="2873"/>
      <c r="B30" s="2872"/>
      <c r="C30" s="191" t="s">
        <v>1189</v>
      </c>
    </row>
    <row r="31" spans="1:3" ht="14">
      <c r="A31" s="2873"/>
      <c r="B31" s="2872"/>
      <c r="C31" s="191" t="s">
        <v>1190</v>
      </c>
    </row>
    <row r="32" spans="1:3" ht="14">
      <c r="A32" s="2873"/>
      <c r="B32" s="2872"/>
      <c r="C32" s="191" t="s">
        <v>1191</v>
      </c>
    </row>
    <row r="33" spans="1:3" ht="14">
      <c r="A33" s="2873"/>
      <c r="B33" s="2872"/>
      <c r="C33" s="191" t="s">
        <v>1192</v>
      </c>
    </row>
    <row r="34" spans="1:3">
      <c r="A34" s="195" t="s">
        <v>52</v>
      </c>
    </row>
    <row r="37" spans="1:3">
      <c r="A37" s="195" t="s">
        <v>1193</v>
      </c>
    </row>
    <row r="38" spans="1:3" ht="14">
      <c r="A38" s="196" t="s">
        <v>53</v>
      </c>
    </row>
    <row r="39" spans="1:3" ht="14">
      <c r="A39" s="196" t="s">
        <v>54</v>
      </c>
    </row>
    <row r="40" spans="1:3" ht="14">
      <c r="A40" s="196" t="s">
        <v>55</v>
      </c>
    </row>
    <row r="41" spans="1:3" ht="14">
      <c r="A41" s="197" t="s">
        <v>56</v>
      </c>
    </row>
    <row r="42" spans="1:3" ht="14">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328125" defaultRowHeight="24" customHeight="1"/>
  <cols>
    <col min="1" max="1" width="24.6328125" style="535" customWidth="1"/>
    <col min="2" max="2" width="38.6328125" style="535" customWidth="1"/>
    <col min="3" max="3" width="26" style="535" customWidth="1"/>
    <col min="4" max="4" width="35" style="535" hidden="1" customWidth="1"/>
    <col min="5" max="5" width="30.08984375" style="535" customWidth="1"/>
    <col min="6" max="6" width="35.453125" style="535" customWidth="1"/>
    <col min="7" max="7" width="31" style="535" customWidth="1"/>
    <col min="8" max="8" width="37.453125" style="535" hidden="1" customWidth="1"/>
    <col min="9" max="16384" width="22.6328125" style="535"/>
  </cols>
  <sheetData>
    <row r="1" spans="1:8" ht="24" customHeight="1">
      <c r="A1" s="534"/>
      <c r="B1" s="534"/>
      <c r="C1" s="534"/>
      <c r="D1" s="534"/>
      <c r="E1" s="534"/>
      <c r="F1" s="534"/>
      <c r="G1" s="534"/>
      <c r="H1" s="534"/>
    </row>
    <row r="2" spans="1:8" ht="24" customHeight="1">
      <c r="A2" s="536" t="s">
        <v>2397</v>
      </c>
      <c r="B2" s="536">
        <f ca="1">TODAY()</f>
        <v>44902</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77" t="s">
        <v>2418</v>
      </c>
      <c r="B17" s="2877"/>
      <c r="C17" s="2877"/>
      <c r="D17" s="2877"/>
      <c r="E17" s="2877"/>
      <c r="F17" s="2877"/>
      <c r="G17" s="2877"/>
      <c r="H17" s="2877"/>
    </row>
    <row r="18" spans="1:8" ht="24" customHeight="1">
      <c r="A18" s="2878" t="s">
        <v>2419</v>
      </c>
      <c r="B18" s="2878"/>
      <c r="C18" s="2878"/>
      <c r="D18" s="540"/>
      <c r="E18" s="2879" t="s">
        <v>2420</v>
      </c>
      <c r="F18" s="2878"/>
      <c r="G18" s="2878"/>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2022-12-07T06:00:48Z</dcterms:modified>
</cp:coreProperties>
</file>