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1"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典型户型修正" sheetId="31" state="hidden" r:id="rId20"/>
    <sheet name="收益法 (元)" sheetId="67" r:id="rId21"/>
    <sheet name="收益法 (地下)" sheetId="80" state="hidden" r:id="rId22"/>
    <sheet name="租约整理" sheetId="82" r:id="rId23"/>
    <sheet name="成本法 (元)" sheetId="69" r:id="rId24"/>
    <sheet name="假设开发法" sheetId="12" state="hidden" r:id="rId25"/>
    <sheet name="收益法" sheetId="15" state="hidden" r:id="rId26"/>
    <sheet name="成本法 (地下)" sheetId="78"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r:id="rId38"/>
    <sheet name="修正" sheetId="45" state="hidden" r:id="rId39"/>
    <sheet name="容积率修正" sheetId="46" state="hidden" r:id="rId40"/>
    <sheet name="基准地价（汇总）" sheetId="76" state="hidden" r:id="rId41"/>
    <sheet name="基准地价修正 (地下)" sheetId="77" state="hidden" r:id="rId42"/>
    <sheet name="地价" sheetId="7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结果汇总" sheetId="81" r:id="rId49"/>
    <sheet name="案例" sheetId="79" r:id="rId50"/>
  </sheets>
  <externalReferences>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21">'收益法 (地下)'!$A$1:$AK$69</definedName>
    <definedName name="_xlnm.Print_Area" localSheetId="20">'收益法 (元)'!$A$1:$AK$69</definedName>
    <definedName name="_xlnm.Print_Area" localSheetId="13">'数据-汇总表'!$A$1:$P$32</definedName>
    <definedName name="八级">区片价!$O$1:$O$40</definedName>
    <definedName name="办公层高" localSheetId="48">'[1]比较法-办公'!$B$119:$M$119</definedName>
    <definedName name="办公层高" localSheetId="22">'[1]比较法-办公'!$B$119:$M$119</definedName>
    <definedName name="办公层高">'比较法-办公'!$B$119:$M$119</definedName>
    <definedName name="办公朝向" localSheetId="48">'[1]比较法-办公'!$B$91:$M$91</definedName>
    <definedName name="办公朝向" localSheetId="22">'[1]比较法-办公'!$B$91:$M$91</definedName>
    <definedName name="办公朝向">'比较法-办公'!$B$91:$M$91</definedName>
    <definedName name="办公道路级别" localSheetId="48">'[1]比较法-办公'!$B$87:$M$87</definedName>
    <definedName name="办公道路级别" localSheetId="22">'[1]比较法-办公'!$B$87:$M$87</definedName>
    <definedName name="办公道路级别">'比较法-办公'!$B$87:$M$87</definedName>
    <definedName name="办公公共部分装修" localSheetId="48">'[1]比较法-办公'!$B$108:$M$108</definedName>
    <definedName name="办公公共部分装修" localSheetId="22">'[1]比较法-办公'!$B$108:$M$108</definedName>
    <definedName name="办公公共部分装修">'比较法-办公'!$B$108:$M$108</definedName>
    <definedName name="办公基础设施水平" localSheetId="48">'[1]比较法-办公'!$B$117:$M$117</definedName>
    <definedName name="办公基础设施水平" localSheetId="22">'[1]比较法-办公'!$B$117:$M$117</definedName>
    <definedName name="办公基础设施水平">'比较法-办公'!$B$117:$M$117</definedName>
    <definedName name="办公集聚程度" localSheetId="48">[1]定义!$M$1:$M$6</definedName>
    <definedName name="办公集聚程度" localSheetId="22">[1]定义!$M$1:$M$6</definedName>
    <definedName name="办公集聚程度">定义!$M$1:$M$6</definedName>
    <definedName name="办公建筑结构" localSheetId="48">'[1]比较法-办公'!$B$106:$M$106</definedName>
    <definedName name="办公建筑结构" localSheetId="22">'[1]比较法-办公'!$B$106:$M$106</definedName>
    <definedName name="办公建筑结构">'比较法-办公'!$B$106:$M$106</definedName>
    <definedName name="办公建筑类型" localSheetId="48">'[1]比较法-办公'!$B$101:$M$101</definedName>
    <definedName name="办公建筑类型" localSheetId="22">'[1]比较法-办公'!$B$101:$M$101</definedName>
    <definedName name="办公建筑类型">'比较法-办公'!$B$101:$M$101</definedName>
    <definedName name="办公交易情况" localSheetId="48">'[1]比较法-办公'!$A$62:$M$62</definedName>
    <definedName name="办公交易情况" localSheetId="22">'[1]比较法-办公'!$A$62:$M$62</definedName>
    <definedName name="办公交易情况">'比较法-办公'!$A$62:$M$62</definedName>
    <definedName name="办公楼层" localSheetId="48">'[1]比较法-办公'!$B$89:$M$89</definedName>
    <definedName name="办公楼层" localSheetId="22">'[1]比较法-办公'!$B$89:$M$89</definedName>
    <definedName name="办公楼层">'比较法-办公'!$B$89:$M$89</definedName>
    <definedName name="办公内部装修" localSheetId="48">'[1]比较法-办公'!$B$123:$M$123</definedName>
    <definedName name="办公内部装修" localSheetId="22">'[1]比较法-办公'!$B$123:$M$123</definedName>
    <definedName name="办公内部装修">'比较法-办公'!$B$123:$M$123</definedName>
    <definedName name="办公物业管理" localSheetId="48">'[1]比较法-办公'!$B$115:$M$115</definedName>
    <definedName name="办公物业管理" localSheetId="22">'[1]比较法-办公'!$B$115:$M$115</definedName>
    <definedName name="办公物业管理">'比较法-办公'!$B$115:$M$115</definedName>
    <definedName name="办公用途" localSheetId="48">'[1]比较法-办公'!$B$64:$M$64</definedName>
    <definedName name="办公用途" localSheetId="22">'[1]比较法-办公'!$B$64:$M$64</definedName>
    <definedName name="办公用途">'比较法-办公'!$B$64:$M$64</definedName>
    <definedName name="仓储公共部分装修" localSheetId="48">'[1]比较法-仓储'!$B$77:$M$77</definedName>
    <definedName name="仓储公共部分装修" localSheetId="22">'[1]比较法-仓储'!$B$77:$M$77</definedName>
    <definedName name="仓储公共部分装修">'比较法-仓储'!$B$77:$M$77</definedName>
    <definedName name="仓储交易情况" localSheetId="48">'[1]比较法-仓储'!$A$49:$M$49</definedName>
    <definedName name="仓储交易情况" localSheetId="22">'[1]比较法-仓储'!$A$49:$M$49</definedName>
    <definedName name="仓储交易情况">'比较法-仓储'!$A$49:$M$49</definedName>
    <definedName name="仓储楼层" localSheetId="48">'[1]比较法-仓储'!$B$69:$M$69</definedName>
    <definedName name="仓储楼层" localSheetId="22">'[1]比较法-仓储'!$B$69:$M$69</definedName>
    <definedName name="仓储楼层">'比较法-仓储'!$B$69:$M$69</definedName>
    <definedName name="仓储物业等级" localSheetId="48">'[1]比较法-仓储'!$B$82:$M$82</definedName>
    <definedName name="仓储物业等级" localSheetId="22">'[1]比较法-仓储'!$B$82:$M$82</definedName>
    <definedName name="仓储物业等级">'比较法-仓储'!$B$82:$M$82</definedName>
    <definedName name="仓储用途" localSheetId="48">'[1]比较法-仓储'!$B$51:$M$51</definedName>
    <definedName name="仓储用途" localSheetId="22">'[1]比较法-仓储'!$B$51:$M$51</definedName>
    <definedName name="仓储用途">'比较法-仓储'!$B$51:$M$51</definedName>
    <definedName name="产业集聚程度" localSheetId="48">[1]定义!$N$1:$N$6</definedName>
    <definedName name="产业集聚程度" localSheetId="22">[1]定义!$N$1:$N$6</definedName>
    <definedName name="产业集聚程度">定义!$N$1:$N$6</definedName>
    <definedName name="车位公共部分装修" localSheetId="48">'[1]比较法-车位'!$B$83:$M$83</definedName>
    <definedName name="车位公共部分装修" localSheetId="22">'[1]比较法-车位'!$B$83:$M$83</definedName>
    <definedName name="车位公共部分装修">'比较法-车位'!$B$83:$M$83</definedName>
    <definedName name="车位交易情况" localSheetId="48">'[1]比较法-车位'!$A$51:$M$51</definedName>
    <definedName name="车位交易情况" localSheetId="22">'[1]比较法-车位'!$A$51:$M$51</definedName>
    <definedName name="车位交易情况">'比较法-车位'!$A$51:$M$51</definedName>
    <definedName name="车位类型" localSheetId="48">'[1]比较法-车位'!$B$93:$M$93</definedName>
    <definedName name="车位类型" localSheetId="22">'[1]比较法-车位'!$B$93:$M$93</definedName>
    <definedName name="车位类型">'比较法-车位'!$B$93:$M$93</definedName>
    <definedName name="车位楼层" localSheetId="48">'[1]比较法-车位'!$B$71:$M$71</definedName>
    <definedName name="车位楼层" localSheetId="22">'[1]比较法-车位'!$B$71:$M$71</definedName>
    <definedName name="车位楼层">'比较法-车位'!$B$71:$M$71</definedName>
    <definedName name="车位配套类型" localSheetId="48">'[1]比较法-车位'!$B$79:$M$79</definedName>
    <definedName name="车位配套类型" localSheetId="22">'[1]比较法-车位'!$B$79:$M$79</definedName>
    <definedName name="车位配套类型">'比较法-车位'!$B$79:$M$79</definedName>
    <definedName name="车位物业等级" localSheetId="48">'[1]比较法-车位'!$B$88:$M$88</definedName>
    <definedName name="车位物业等级" localSheetId="22">'[1]比较法-车位'!$B$88:$M$88</definedName>
    <definedName name="车位物业等级">'比较法-车位'!$B$88:$M$88</definedName>
    <definedName name="车位用途" localSheetId="48">'[1]比较法-车位'!$B$53:$M$53</definedName>
    <definedName name="车位用途" localSheetId="22">'[1]比较法-车位'!$B$53:$M$53</definedName>
    <definedName name="车位用途">'比较法-车位'!$B$53:$M$53</definedName>
    <definedName name="城镇土地纳税等级分级范围" localSheetId="48">'[1]数据-取费表'!$A$53:$A$63</definedName>
    <definedName name="城镇土地纳税等级分级范围" localSheetId="22">'[1]数据-取费表'!$A$53:$A$63</definedName>
    <definedName name="城镇土地纳税等级分级范围">'数据-取费表'!$A$53:$A$63</definedName>
    <definedName name="单价内涵" localSheetId="48">[1]定义!$V$1:$V$3</definedName>
    <definedName name="单价内涵" localSheetId="22">[1]定义!$V$1:$V$3</definedName>
    <definedName name="单价内涵">定义!$V$1:$V$3</definedName>
    <definedName name="地类判定" localSheetId="48">[1]定义!$H$1:$H$9</definedName>
    <definedName name="地类判定" localSheetId="22">[1]定义!$H$1:$H$9</definedName>
    <definedName name="地类判定">定义!$H$1:$H$9</definedName>
    <definedName name="二级">区片价!$I$1:$I$20</definedName>
    <definedName name="二级分类" localSheetId="48">[1]修正!$C$17:$C$39</definedName>
    <definedName name="二级分类" localSheetId="22">[1]修正!$C$17:$C$39</definedName>
    <definedName name="二级分类">修正!$C$17:$C$39</definedName>
    <definedName name="法定最高年限" localSheetId="48">[1]定义!$G$1:$G$4</definedName>
    <definedName name="法定最高年限" localSheetId="22">[1]定义!$G$1:$G$4</definedName>
    <definedName name="法定最高年限">定义!$G$1:$G$4</definedName>
    <definedName name="工业公共部分装修" localSheetId="48">'[1]比较法-工业'!$B$95:$M$95</definedName>
    <definedName name="工业公共部分装修" localSheetId="22">'[1]比较法-工业'!$B$95:$M$95</definedName>
    <definedName name="工业公共部分装修">'比较法-工业'!$B$95:$M$95</definedName>
    <definedName name="工业基础设施水平" localSheetId="48">'[1]比较法-工业'!$B$102:$M$102</definedName>
    <definedName name="工业基础设施水平" localSheetId="22">'[1]比较法-工业'!$B$102:$M$102</definedName>
    <definedName name="工业基础设施水平">'比较法-工业'!$B$102:$M$102</definedName>
    <definedName name="工业建筑结构" localSheetId="48">'[1]比较法-工业'!$B$93:$M$93</definedName>
    <definedName name="工业建筑结构" localSheetId="22">'[1]比较法-工业'!$B$93:$M$93</definedName>
    <definedName name="工业建筑结构">'比较法-工业'!$B$93:$M$93</definedName>
    <definedName name="工业建筑类型" localSheetId="48">'[1]比较法-工业'!$B$88:$M$88</definedName>
    <definedName name="工业建筑类型" localSheetId="22">'[1]比较法-工业'!$B$88:$M$88</definedName>
    <definedName name="工业建筑类型">'比较法-工业'!$B$88:$M$88</definedName>
    <definedName name="工业交易情况" localSheetId="48">'[1]比较法-工业'!$A$55:$M$55</definedName>
    <definedName name="工业交易情况" localSheetId="22">'[1]比较法-工业'!$A$55:$M$55</definedName>
    <definedName name="工业交易情况">'比较法-工业'!$A$55:$M$55</definedName>
    <definedName name="工业内部装修" localSheetId="48">'[1]比较法-工业'!$B$104:$M$104</definedName>
    <definedName name="工业内部装修" localSheetId="22">'[1]比较法-工业'!$B$104:$M$104</definedName>
    <definedName name="工业内部装修">'比较法-工业'!$B$104:$M$104</definedName>
    <definedName name="工业物业管理" localSheetId="48">'[1]比较法-工业'!$B$100:$M$100</definedName>
    <definedName name="工业物业管理" localSheetId="22">'[1]比较法-工业'!$B$100:$M$100</definedName>
    <definedName name="工业物业管理">'比较法-工业'!$B$100:$M$100</definedName>
    <definedName name="工业用途" localSheetId="48">'[1]比较法-工业'!$B$57:$M$57</definedName>
    <definedName name="工业用途" localSheetId="22">'[1]比较法-工业'!$B$57:$M$57</definedName>
    <definedName name="工业用途">'比较法-工业'!$B$57:$M$57</definedName>
    <definedName name="公共配套设施" localSheetId="48">[1]定义!$Q$1:$Q$6</definedName>
    <definedName name="公共配套设施" localSheetId="22">[1]定义!$Q$1:$Q$6</definedName>
    <definedName name="公共配套设施">定义!$Q$1:$Q$6</definedName>
    <definedName name="估价方法" localSheetId="48">[1]定义!$B$1:$B$50</definedName>
    <definedName name="估价方法" localSheetId="22">[1]定义!$B$1:$B$50</definedName>
    <definedName name="估价方法">定义!$B$1:$B$50</definedName>
    <definedName name="环境" localSheetId="48">[1]定义!$S$1:$S$6</definedName>
    <definedName name="环境" localSheetId="22">[1]定义!$S$1:$S$6</definedName>
    <definedName name="环境">定义!$S$1:$S$6</definedName>
    <definedName name="基础设施水平" localSheetId="48">[1]定义!$R$1:$R$6</definedName>
    <definedName name="基础设施水平" localSheetId="22">[1]定义!$R$1:$R$6</definedName>
    <definedName name="基础设施水平">定义!$R$1:$R$6</definedName>
    <definedName name="季度" localSheetId="41">'基准地价修正 (地下)'!$Q$19:$AD$19</definedName>
    <definedName name="季度">基准地价修正!$Q$19:$AD$19</definedName>
    <definedName name="价值类型2" localSheetId="48">[1]定义!$B$54:$B$56</definedName>
    <definedName name="价值类型2" localSheetId="22">[1]定义!$B$54:$B$56</definedName>
    <definedName name="价值类型2">定义!$B$54:$B$56</definedName>
    <definedName name="交通便捷度" localSheetId="48">[1]定义!$O$1:$O$6</definedName>
    <definedName name="交通便捷度" localSheetId="22">[1]定义!$O$1:$O$6</definedName>
    <definedName name="交通便捷度">定义!$O$1:$O$6</definedName>
    <definedName name="九级">区片价!$P$1:$P$46</definedName>
    <definedName name="居住社区成熟度" localSheetId="48">[1]定义!$K$1:$K$6</definedName>
    <definedName name="居住社区成熟度" localSheetId="22">[1]定义!$K$1:$K$6</definedName>
    <definedName name="居住社区成熟度">定义!$K$1:$K$6</definedName>
    <definedName name="类别" localSheetId="48">[1]定义!$J$1:$J$3</definedName>
    <definedName name="类别" localSheetId="22">[1]定义!$J$1:$J$3</definedName>
    <definedName name="类别">定义!$J$1:$J$3</definedName>
    <definedName name="临街状况" localSheetId="48">[1]定义!$T$1:$T$5</definedName>
    <definedName name="临街状况" localSheetId="22">[1]定义!$T$1:$T$5</definedName>
    <definedName name="临街状况">定义!$T$1:$T$5</definedName>
    <definedName name="六级">区片价!$M$1:$M$49</definedName>
    <definedName name="内部装修维护情况" localSheetId="48">[1]定义!$U$1:$U$6</definedName>
    <definedName name="内部装修维护情况" localSheetId="22">[1]定义!$U$1:$U$6</definedName>
    <definedName name="内部装修维护情况">定义!$U$1:$U$6</definedName>
    <definedName name="判定" localSheetId="48">[1]定义!$D$1:$D$4</definedName>
    <definedName name="判定" localSheetId="22">[1]定义!$D$1:$D$4</definedName>
    <definedName name="判定">定义!$D$1:$D$4</definedName>
    <definedName name="七级">区片价!$N$1:$N$49</definedName>
    <definedName name="七通一平" localSheetId="48">[1]修正!$A$6:$A$14</definedName>
    <definedName name="七通一平" localSheetId="22">[1]修正!$A$6:$A$14</definedName>
    <definedName name="七通一平">修正!$A$6:$A$14</definedName>
    <definedName name="区域土地利用方向" localSheetId="48">[1]定义!$P$1:$P$6</definedName>
    <definedName name="区域土地利用方向" localSheetId="22">[1]定义!$P$1:$P$6</definedName>
    <definedName name="区域土地利用方向">定义!$P$1:$P$6</definedName>
    <definedName name="三级">区片价!$J$1:$J$21</definedName>
    <definedName name="商业层高" localSheetId="48">'[1]比较法-商业'!$B$116:$M$116</definedName>
    <definedName name="商业层高" localSheetId="22">'[1]比较法-商业'!$B$116:$M$116</definedName>
    <definedName name="商业层高">'比较法-商业'!$B$116:$M$116</definedName>
    <definedName name="商业成新度">'比较法-商业'!$B$109:$M$109</definedName>
    <definedName name="商业繁华度" localSheetId="48">[1]定义!$L$1:$L$6</definedName>
    <definedName name="商业繁华度" localSheetId="22">[1]定义!$L$1:$L$6</definedName>
    <definedName name="商业繁华度">定义!$L$1:$L$6</definedName>
    <definedName name="商业公共部分装修" localSheetId="48">'[1]比较法-商业'!$B$107:$M$107</definedName>
    <definedName name="商业公共部分装修" localSheetId="22">'[1]比较法-商业'!$B$107:$M$107</definedName>
    <definedName name="商业公共部分装修">'比较法-商业'!$B$107:$M$107</definedName>
    <definedName name="商业基础设施水平" localSheetId="48">'[1]比较法-商业'!$B$112:$M$112</definedName>
    <definedName name="商业基础设施水平" localSheetId="22">'[1]比较法-商业'!$B$112:$M$112</definedName>
    <definedName name="商业基础设施水平">'比较法-商业'!$B$112:$M$112</definedName>
    <definedName name="商业建筑结构" localSheetId="48">'[1]比较法-商业'!$B$105:$M$105</definedName>
    <definedName name="商业建筑结构" localSheetId="22">'[1]比较法-商业'!$B$105:$M$105</definedName>
    <definedName name="商业建筑结构">'比较法-商业'!$B$105:$M$105</definedName>
    <definedName name="商业交易情况" localSheetId="48">'[1]比较法-商业'!$A$61:$M$61</definedName>
    <definedName name="商业交易情况" localSheetId="22">'[1]比较法-商业'!$A$61:$M$61</definedName>
    <definedName name="商业交易情况">'比较法-商业'!$A$61:$M$61</definedName>
    <definedName name="商业街名称" localSheetId="48">[1]修正!$C$59:$C$119</definedName>
    <definedName name="商业街名称" localSheetId="22">[1]修正!$C$59:$C$119</definedName>
    <definedName name="商业街名称">修正!$C$59:$C$119</definedName>
    <definedName name="商业进深比" localSheetId="48">'[1]比较法-商业'!$B$120:$M$120</definedName>
    <definedName name="商业进深比" localSheetId="22">'[1]比较法-商业'!$B$120:$M$120</definedName>
    <definedName name="商业进深比">'比较法-商业'!$B$120:$M$120</definedName>
    <definedName name="商业类型" localSheetId="48">'[1]比较法-商业'!$B$100:$M$100</definedName>
    <definedName name="商业类型" localSheetId="22">'[1]比较法-商业'!$B$100:$M$100</definedName>
    <definedName name="商业类型">'比较法-商业'!$B$100:$M$100</definedName>
    <definedName name="商业临街状况" localSheetId="48">'[1]比较法-商业'!$B$86:$M$86</definedName>
    <definedName name="商业临街状况" localSheetId="22">'[1]比较法-商业'!$B$86:$M$86</definedName>
    <definedName name="商业临街状况">'比较法-商业'!$B$86:$M$86</definedName>
    <definedName name="商业楼层" localSheetId="48">'[1]比较法-商业'!$B$92:$M$92</definedName>
    <definedName name="商业楼层" localSheetId="22">'[1]比较法-商业'!$B$92:$M$92</definedName>
    <definedName name="商业楼层">'比较法-商业'!$B$92:$M$92</definedName>
    <definedName name="商业内部装修" localSheetId="48">'[1]比较法-商业'!$B$122:$M$122</definedName>
    <definedName name="商业内部装修" localSheetId="22">'[1]比较法-商业'!$B$122:$M$122</definedName>
    <definedName name="商业内部装修">'比较法-商业'!$B$122:$M$122</definedName>
    <definedName name="商业人流量" localSheetId="48">'[1]比较法-商业'!$B$90:$M$90</definedName>
    <definedName name="商业人流量" localSheetId="22">'[1]比较法-商业'!$B$90:$M$90</definedName>
    <definedName name="商业人流量">'比较法-商业'!$B$90:$M$90</definedName>
    <definedName name="商业业态" localSheetId="48">'[1]比较法-商业'!$B$114:$M$114</definedName>
    <definedName name="商业业态" localSheetId="22">'[1]比较法-商业'!$B$114:$M$114</definedName>
    <definedName name="商业业态">'比较法-商业'!$B$114:$M$114</definedName>
    <definedName name="商业用途" localSheetId="48">'[1]比较法-商业'!$B$63:$M$63</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8">'[1]比较法-仓储'!$B$89:$M$89</definedName>
    <definedName name="是否封闭" localSheetId="22">'[1]比较法-仓储'!$B$89:$M$89</definedName>
    <definedName name="是否封闭">'比较法-仓储'!$B$89:$M$89</definedName>
    <definedName name="是否直接入户" localSheetId="48">'[1]比较法-车位'!$B$95:$M$95</definedName>
    <definedName name="是否直接入户" localSheetId="22">'[1]比较法-车位'!$B$95:$M$95</definedName>
    <definedName name="是否直接入户">'比较法-车位'!$B$95:$M$95</definedName>
    <definedName name="四级">区片价!$K$1:$K$28</definedName>
    <definedName name="套工道路等级" localSheetId="48">'[1]土地比较法-工业'!$B$97:$M$97</definedName>
    <definedName name="套工道路等级" localSheetId="22">'[1]土地比较法-工业'!$B$97:$M$97</definedName>
    <definedName name="套工道路等级">'土地比较法-工业'!$B$97:$M$97</definedName>
    <definedName name="套工地质条件" localSheetId="48">'[1]土地比较法-工业'!$B$114:$M$114</definedName>
    <definedName name="套工地质条件" localSheetId="22">'[1]土地比较法-工业'!$B$114:$M$114</definedName>
    <definedName name="套工地质条件">'土地比较法-工业'!$B$114:$M$114</definedName>
    <definedName name="套工交易情况" localSheetId="48">'[1]土地比较法-住宅、综合'!$A$73:$M$73</definedName>
    <definedName name="套工交易情况" localSheetId="22">'[1]土地比较法-住宅、综合'!$A$73:$M$73</definedName>
    <definedName name="套工交易情况">'土地比较法-住宅、综合'!$A$73:$M$73</definedName>
    <definedName name="套工土地级别" localSheetId="48">'[1]土地比较法-工业'!$B$99:$M$99</definedName>
    <definedName name="套工土地级别" localSheetId="22">'[1]土地比较法-工业'!$B$99:$M$99</definedName>
    <definedName name="套工土地级别">'土地比较法-工业'!$B$99:$M$99</definedName>
    <definedName name="套工用途" localSheetId="48">'[1]土地比较法-工业'!$B$70:$M$70</definedName>
    <definedName name="套工用途" localSheetId="22">'[1]土地比较法-工业'!$B$70:$M$70</definedName>
    <definedName name="套工用途">'土地比较法-工业'!$B$70:$M$70</definedName>
    <definedName name="套工宗地开发程度" localSheetId="48">'[1]土地比较法-工业'!$B$112:$M$112</definedName>
    <definedName name="套工宗地开发程度" localSheetId="22">'[1]土地比较法-工业'!$B$112:$M$112</definedName>
    <definedName name="套工宗地开发程度">'土地比较法-工业'!$B$112:$M$112</definedName>
    <definedName name="套工宗地形状" localSheetId="48">'[1]土地比较法-工业'!$B$110:$M$110</definedName>
    <definedName name="套工宗地形状" localSheetId="22">'[1]土地比较法-工业'!$B$110:$M$110</definedName>
    <definedName name="套工宗地形状">'土地比较法-工业'!$B$110:$M$110</definedName>
    <definedName name="套综道路等级" localSheetId="48">'[1]土地比较法-住宅、综合'!$B$106:$M$106</definedName>
    <definedName name="套综道路等级" localSheetId="22">'[1]土地比较法-住宅、综合'!$B$106:$M$106</definedName>
    <definedName name="套综道路等级">'土地比较法-住宅、综合'!$B$106:$M$106</definedName>
    <definedName name="套综工程地质条件" localSheetId="48">'[1]土地比较法-住宅、综合'!$B$125:$M$125</definedName>
    <definedName name="套综工程地质条件" localSheetId="22">'[1]土地比较法-住宅、综合'!$B$125:$M$125</definedName>
    <definedName name="套综工程地质条件">'土地比较法-住宅、综合'!$B$125:$M$125</definedName>
    <definedName name="套综交易情况" localSheetId="48">'[1]土地比较法-住宅、综合'!$A$73:$M$73</definedName>
    <definedName name="套综交易情况" localSheetId="22">'[1]土地比较法-住宅、综合'!$A$73:$M$73</definedName>
    <definedName name="套综交易情况">'土地比较法-住宅、综合'!$A$73:$M$73</definedName>
    <definedName name="套综临街宽度及深度" localSheetId="48">'[1]土地比较法-住宅、综合'!$B$121:$M$121</definedName>
    <definedName name="套综临街宽度及深度" localSheetId="22">'[1]土地比较法-住宅、综合'!$B$121:$M$121</definedName>
    <definedName name="套综临街宽度及深度">'土地比较法-住宅、综合'!$B$121:$M$121</definedName>
    <definedName name="套综土地级别" localSheetId="48">'[1]土地比较法-住宅、综合'!$B$108:$M$108</definedName>
    <definedName name="套综土地级别" localSheetId="22">'[1]土地比较法-住宅、综合'!$B$108:$M$108</definedName>
    <definedName name="套综土地级别">'土地比较法-住宅、综合'!$B$108:$M$108</definedName>
    <definedName name="套综用途" localSheetId="48">'[1]土地比较法-住宅、综合'!$B$75:$M$75</definedName>
    <definedName name="套综用途" localSheetId="22">'[1]土地比较法-住宅、综合'!$B$75:$M$75</definedName>
    <definedName name="套综用途">'土地比较法-住宅、综合'!$B$75:$M$75</definedName>
    <definedName name="套综宗地内开发程度" localSheetId="48">'[1]土地比较法-住宅、综合'!$B$123:$M$123</definedName>
    <definedName name="套综宗地内开发程度" localSheetId="22">'[1]土地比较法-住宅、综合'!$B$123:$M$123</definedName>
    <definedName name="套综宗地内开发程度">'土地比较法-住宅、综合'!$B$123:$M$123</definedName>
    <definedName name="套综宗地形状" localSheetId="48">'[1]土地比较法-住宅、综合'!$B$119:$M$119</definedName>
    <definedName name="套综宗地形状" localSheetId="22">'[1]土地比较法-住宅、综合'!$B$119:$M$119</definedName>
    <definedName name="套综宗地形状">'土地比较法-住宅、综合'!$B$119:$M$119</definedName>
    <definedName name="土地估价师">估价师及机构信息!$D$3:$D$24</definedName>
    <definedName name="土地级别" localSheetId="48">[1]定义!$C$1:$C$14</definedName>
    <definedName name="土地级别" localSheetId="22">[1]定义!$C$1:$C$14</definedName>
    <definedName name="土地级别">定义!$C$1:$C$14</definedName>
    <definedName name="土地利用方向">定义!$P$1:$P$6</definedName>
    <definedName name="土地年限区间" localSheetId="48">[1]定义!$I$1:$I$8</definedName>
    <definedName name="土地年限区间" localSheetId="22">[1]定义!$I$1:$I$8</definedName>
    <definedName name="土地年限区间">定义!$I$1:$I$8</definedName>
    <definedName name="位置" localSheetId="48">[1]定义!$E$2:$E$4</definedName>
    <definedName name="位置" localSheetId="22">[1]定义!$E$2:$E$4</definedName>
    <definedName name="位置">定义!$E$2:$E$4</definedName>
    <definedName name="五等判定" localSheetId="48">[1]定义!$W$1:$W$6</definedName>
    <definedName name="五等判定" localSheetId="22">[1]定义!$W$1:$W$6</definedName>
    <definedName name="五等判定">定义!$W$1:$W$6</definedName>
    <definedName name="五级">区片价!$L$1:$L$35</definedName>
    <definedName name="项目类型" localSheetId="48">'[1]数据-汇总表'!$C$17:$C$26</definedName>
    <definedName name="项目类型" localSheetId="22">'[1]数据-汇总表'!$C$17:$C$26</definedName>
    <definedName name="项目类型">'数据-汇总表'!$C$17:$C$26</definedName>
    <definedName name="写字楼等级" localSheetId="48">'[1]比较法-办公'!$B$113:$M$113</definedName>
    <definedName name="写字楼等级" localSheetId="22">'[1]比较法-办公'!$B$113:$M$113</definedName>
    <definedName name="写字楼等级">'比较法-办公'!$B$113:$M$113</definedName>
    <definedName name="一级">区片价!$H$1:$H$6</definedName>
    <definedName name="一修多修正项2" localSheetId="48">[1]典型户型修正!$5:$5</definedName>
    <definedName name="一修多修正项2" localSheetId="22">[1]典型户型修正!$5:$5</definedName>
    <definedName name="一修多修正项2">典型户型修正!$5:$5</definedName>
    <definedName name="一修多修正项3" localSheetId="48">[1]典型户型修正!$7:$7</definedName>
    <definedName name="一修多修正项3" localSheetId="22">[1]典型户型修正!$7:$7</definedName>
    <definedName name="一修多修正项3">典型户型修正!$7:$7</definedName>
    <definedName name="一修多修正项4" localSheetId="48">[1]典型户型修正!$9:$9</definedName>
    <definedName name="一修多修正项4" localSheetId="22">[1]典型户型修正!$9:$9</definedName>
    <definedName name="一修多修正项4">典型户型修正!$9:$9</definedName>
    <definedName name="一修多修正项5" localSheetId="48">[1]典型户型修正!$11:$11</definedName>
    <definedName name="一修多修正项5" localSheetId="22">[1]典型户型修正!$11:$11</definedName>
    <definedName name="一修多修正项5">典型户型修正!$11:$11</definedName>
    <definedName name="一修多修正项6" localSheetId="48">[1]典型户型修正!$13:$13</definedName>
    <definedName name="一修多修正项6" localSheetId="22">[1]典型户型修正!$13:$13</definedName>
    <definedName name="一修多修正项6">典型户型修正!$13:$13</definedName>
    <definedName name="一修多修正项7" localSheetId="48">[1]典型户型修正!$15:$15</definedName>
    <definedName name="一修多修正项7" localSheetId="22">[1]典型户型修正!$15:$15</definedName>
    <definedName name="一修多修正项7">典型户型修正!$15:$15</definedName>
    <definedName name="一修多修正项8" localSheetId="48">[1]典型户型修正!$17:$17</definedName>
    <definedName name="一修多修正项8" localSheetId="22">[1]典型户型修正!$17:$17</definedName>
    <definedName name="一修多修正项8">典型户型修正!$17:$17</definedName>
    <definedName name="用途明细" localSheetId="48">[1]定义!$A$1:$A$50</definedName>
    <definedName name="用途明细" localSheetId="22">[1]定义!$A$1:$A$50</definedName>
    <definedName name="用途明细">定义!$A$1:$A$50</definedName>
    <definedName name="有无电梯" localSheetId="48">'[1]比较法-仓储'!$B$84:$M$84</definedName>
    <definedName name="有无电梯" localSheetId="22">'[1]比较法-仓储'!$B$84:$M$84</definedName>
    <definedName name="有无电梯">'比较法-仓储'!$B$84:$M$84</definedName>
    <definedName name="主用途" localSheetId="48">[1]定义!$F$1:$F$10</definedName>
    <definedName name="主用途" localSheetId="22">[1]定义!$F$1:$F$10</definedName>
    <definedName name="主用途">定义!$F$1:$F$10</definedName>
    <definedName name="住宅朝向" localSheetId="48">'[1]比较法-住宅'!$B$88:$M$88</definedName>
    <definedName name="住宅朝向" localSheetId="22">'[1]比较法-住宅'!$B$88:$M$88</definedName>
    <definedName name="住宅朝向">'比较法-住宅'!$B$88:$M$88</definedName>
    <definedName name="住宅房型" localSheetId="48">'[1]比较法-住宅'!$B$118:$M$118</definedName>
    <definedName name="住宅房型" localSheetId="22">'[1]比较法-住宅'!$B$118:$M$118</definedName>
    <definedName name="住宅房型">'比较法-住宅'!$B$118:$M$118</definedName>
    <definedName name="住宅公共部分装修" localSheetId="48">'[1]比较法-住宅'!$B$109:$M$109</definedName>
    <definedName name="住宅公共部分装修" localSheetId="22">'[1]比较法-住宅'!$B$109:$M$109</definedName>
    <definedName name="住宅公共部分装修">'比较法-住宅'!$B$109:$M$109</definedName>
    <definedName name="住宅基础设施水平" localSheetId="48">'[1]比较法-住宅'!$B$116:$M$116</definedName>
    <definedName name="住宅基础设施水平" localSheetId="22">'[1]比较法-住宅'!$B$116:$M$116</definedName>
    <definedName name="住宅基础设施水平">'比较法-住宅'!$B$116:$M$116</definedName>
    <definedName name="住宅建筑结构" localSheetId="48">'[1]比较法-住宅'!$B$105:$M$105</definedName>
    <definedName name="住宅建筑结构" localSheetId="22">'[1]比较法-住宅'!$B$105:$M$105</definedName>
    <definedName name="住宅建筑结构">'比较法-住宅'!$B$105:$M$105</definedName>
    <definedName name="住宅建筑类型" localSheetId="48">'[1]比较法-住宅'!$B$100:$M$100</definedName>
    <definedName name="住宅建筑类型" localSheetId="22">'[1]比较法-住宅'!$B$100:$M$100</definedName>
    <definedName name="住宅建筑类型">'比较法-住宅'!$B$100:$M$100</definedName>
    <definedName name="住宅建筑品质" localSheetId="48">'[1]比较法-住宅'!$B$107:$M$107</definedName>
    <definedName name="住宅建筑品质" localSheetId="22">'[1]比较法-住宅'!$B$107:$M$107</definedName>
    <definedName name="住宅建筑品质">'比较法-住宅'!$B$107:$M$107</definedName>
    <definedName name="住宅交易情况" localSheetId="48">'[1]比较法-住宅'!$A$61:$M$61</definedName>
    <definedName name="住宅交易情况" localSheetId="22">'[1]比较法-住宅'!$A$61:$M$61</definedName>
    <definedName name="住宅交易情况">'比较法-住宅'!$A$61:$M$61</definedName>
    <definedName name="住宅楼层" localSheetId="48">'[1]比较法-住宅'!$B$86:$M$86</definedName>
    <definedName name="住宅楼层" localSheetId="22">'[1]比较法-住宅'!$B$86:$M$86</definedName>
    <definedName name="住宅楼层">'比较法-住宅'!$B$86:$M$86</definedName>
    <definedName name="住宅内部装修" localSheetId="48">'[1]比较法-住宅'!$B$122:$M$122</definedName>
    <definedName name="住宅内部装修" localSheetId="22">'[1]比较法-住宅'!$B$122:$M$122</definedName>
    <definedName name="住宅内部装修">'比较法-住宅'!$B$122:$M$122</definedName>
    <definedName name="住宅物业管理" localSheetId="48">'[1]比较法-住宅'!$B$114:$M$114</definedName>
    <definedName name="住宅物业管理" localSheetId="22">'[1]比较法-住宅'!$B$114:$M$114</definedName>
    <definedName name="住宅物业管理">'比较法-住宅'!$B$114:$M$114</definedName>
    <definedName name="住宅用途" localSheetId="48">'[1]比较法-住宅'!$B$63:$M$63</definedName>
    <definedName name="住宅用途" localSheetId="22">'[1]比较法-住宅'!$B$63:$M$63</definedName>
    <definedName name="住宅用途">'比较法-住宅'!$B$63:$M$63</definedName>
    <definedName name="住宅主力户型面积">'比较法-住宅'!$B$120:$M$120</definedName>
    <definedName name="注册房地产估价师" localSheetId="48">[1]估价师及机构信息!$A$3:$A$24</definedName>
    <definedName name="注册房地产估价师" localSheetId="22">[1]估价师及机构信息!$A$3:$A$24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F3" i="82" l="1"/>
  <c r="G3" i="82"/>
  <c r="H3" i="82"/>
  <c r="C3" i="82"/>
  <c r="D3" i="82"/>
  <c r="I3" i="82"/>
  <c r="Z6" i="1"/>
  <c r="E19" i="6"/>
  <c r="H4" i="82"/>
  <c r="U6" i="1"/>
  <c r="D4" i="82"/>
  <c r="E4" i="82"/>
  <c r="D2" i="82"/>
  <c r="G5" i="82"/>
  <c r="F5" i="82"/>
  <c r="C5" i="82"/>
  <c r="A6" i="1"/>
  <c r="G1" i="67"/>
  <c r="L19" i="6"/>
  <c r="E20" i="6"/>
  <c r="E21" i="6"/>
  <c r="E22" i="6"/>
  <c r="M47" i="67"/>
  <c r="G1" i="69"/>
  <c r="D33" i="77"/>
  <c r="A9" i="1"/>
  <c r="A8" i="1"/>
  <c r="A7" i="1"/>
  <c r="R9" i="1"/>
  <c r="C17" i="9"/>
  <c r="D17" i="9"/>
  <c r="C18" i="9"/>
  <c r="D18" i="9"/>
  <c r="C3" i="81"/>
  <c r="C4" i="81"/>
  <c r="C5" i="81"/>
  <c r="C1" i="73"/>
  <c r="J1" i="73"/>
  <c r="J20" i="77"/>
  <c r="E15" i="4"/>
  <c r="F6" i="1"/>
  <c r="F7" i="1"/>
  <c r="F9" i="1"/>
  <c r="G2" i="77"/>
  <c r="I2" i="77"/>
  <c r="M6" i="77"/>
  <c r="C17" i="77"/>
  <c r="B2" i="1"/>
  <c r="G19" i="77"/>
  <c r="N5" i="71"/>
  <c r="N6" i="71"/>
  <c r="N7" i="71"/>
  <c r="N8" i="71"/>
  <c r="N9" i="71"/>
  <c r="N10" i="71"/>
  <c r="N11" i="71"/>
  <c r="N12" i="71"/>
  <c r="N13" i="71"/>
  <c r="N14" i="71"/>
  <c r="N15" i="71"/>
  <c r="N16" i="71"/>
  <c r="N17" i="71"/>
  <c r="N18" i="71"/>
  <c r="N19" i="71"/>
  <c r="N20" i="71"/>
  <c r="N21" i="71"/>
  <c r="N22" i="71"/>
  <c r="X5" i="71"/>
  <c r="X9" i="71"/>
  <c r="X13" i="71"/>
  <c r="X15" i="71"/>
  <c r="X17" i="71"/>
  <c r="X19" i="71"/>
  <c r="X21" i="71"/>
  <c r="O5" i="71"/>
  <c r="O6" i="71"/>
  <c r="O7" i="71"/>
  <c r="O8" i="71"/>
  <c r="O9" i="71"/>
  <c r="O10" i="71"/>
  <c r="O11" i="71"/>
  <c r="O12" i="71"/>
  <c r="O13" i="71"/>
  <c r="O14" i="71"/>
  <c r="O15" i="71"/>
  <c r="O16" i="71"/>
  <c r="O17" i="71"/>
  <c r="O18" i="71"/>
  <c r="O19" i="71"/>
  <c r="O20" i="71"/>
  <c r="O21" i="71"/>
  <c r="O22" i="71"/>
  <c r="Y3" i="71"/>
  <c r="Z3" i="71"/>
  <c r="P5" i="71"/>
  <c r="P6" i="71"/>
  <c r="P7" i="71"/>
  <c r="P8" i="71"/>
  <c r="P9" i="71"/>
  <c r="P10" i="71"/>
  <c r="P11" i="71"/>
  <c r="P12" i="71"/>
  <c r="P13" i="71"/>
  <c r="P14" i="71"/>
  <c r="P15" i="71"/>
  <c r="P16" i="71"/>
  <c r="P17" i="71"/>
  <c r="P18" i="71"/>
  <c r="P19" i="71"/>
  <c r="P20" i="71"/>
  <c r="P21" i="71"/>
  <c r="P22" i="71"/>
  <c r="AA6" i="71"/>
  <c r="AA10" i="71"/>
  <c r="AA14" i="71"/>
  <c r="AA16" i="71"/>
  <c r="AA18" i="71"/>
  <c r="AA20" i="71"/>
  <c r="AA3" i="71"/>
  <c r="Q5" i="71"/>
  <c r="Q6" i="71"/>
  <c r="Q7" i="71"/>
  <c r="Q8" i="71"/>
  <c r="Q9" i="71"/>
  <c r="Q10" i="71"/>
  <c r="Q11" i="71"/>
  <c r="Q12" i="71"/>
  <c r="Q13" i="71"/>
  <c r="Q14" i="71"/>
  <c r="Q15" i="71"/>
  <c r="Q16" i="71"/>
  <c r="Q17" i="71"/>
  <c r="Q18" i="71"/>
  <c r="Q19" i="71"/>
  <c r="Q20" i="71"/>
  <c r="Q21" i="71"/>
  <c r="Q22" i="71"/>
  <c r="AB5" i="71"/>
  <c r="AB9" i="71"/>
  <c r="AB13" i="71"/>
  <c r="AB15" i="71"/>
  <c r="AB17" i="71"/>
  <c r="AB19" i="71"/>
  <c r="AB21" i="71"/>
  <c r="Y6" i="71"/>
  <c r="Z6" i="71"/>
  <c r="X7" i="71"/>
  <c r="AB7" i="71"/>
  <c r="Y8" i="71"/>
  <c r="Z8" i="71"/>
  <c r="AA8" i="71"/>
  <c r="Y10" i="71"/>
  <c r="Z10" i="71"/>
  <c r="X11" i="71"/>
  <c r="AB11" i="71"/>
  <c r="Y12" i="71"/>
  <c r="Z12" i="71"/>
  <c r="AA12" i="71"/>
  <c r="Y13" i="71"/>
  <c r="Z13" i="71"/>
  <c r="AA13" i="71"/>
  <c r="X14" i="71"/>
  <c r="Y14" i="71"/>
  <c r="Z14" i="71"/>
  <c r="AB14" i="71"/>
  <c r="Y15" i="71"/>
  <c r="Z15" i="71"/>
  <c r="AA15" i="71"/>
  <c r="X16" i="71"/>
  <c r="Y16" i="71"/>
  <c r="Z16" i="71"/>
  <c r="AB16" i="71"/>
  <c r="Y17" i="71"/>
  <c r="Z17" i="71"/>
  <c r="AA17" i="71"/>
  <c r="X18" i="71"/>
  <c r="Y18" i="71"/>
  <c r="Z18" i="71"/>
  <c r="AB18" i="71"/>
  <c r="Y19" i="71"/>
  <c r="Z19" i="71"/>
  <c r="AA19" i="71"/>
  <c r="X20" i="71"/>
  <c r="Y20" i="71"/>
  <c r="Z20" i="71"/>
  <c r="AB20" i="71"/>
  <c r="Y21" i="71"/>
  <c r="Z21" i="71"/>
  <c r="AA21" i="71"/>
  <c r="X22" i="71"/>
  <c r="Y22" i="71"/>
  <c r="Z22" i="71"/>
  <c r="AA22" i="71"/>
  <c r="AB22" i="71"/>
  <c r="D48" i="77"/>
  <c r="D49" i="77"/>
  <c r="M50" i="77"/>
  <c r="D50" i="77"/>
  <c r="K51" i="77"/>
  <c r="D51" i="77"/>
  <c r="M52" i="77"/>
  <c r="N52" i="77"/>
  <c r="D52" i="77"/>
  <c r="D53" i="77"/>
  <c r="D54" i="77"/>
  <c r="K55" i="77"/>
  <c r="D55" i="77"/>
  <c r="K56" i="77"/>
  <c r="D56" i="77"/>
  <c r="F33" i="77"/>
  <c r="F7" i="78"/>
  <c r="E9" i="78"/>
  <c r="K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B159" i="3"/>
  <c r="BC159" i="3"/>
  <c r="BD159" i="3"/>
  <c r="BE159" i="3"/>
  <c r="BF159" i="3"/>
  <c r="BG159" i="3"/>
  <c r="BH159" i="3"/>
  <c r="BI159" i="3"/>
  <c r="BJ159" i="3"/>
  <c r="BK159" i="3"/>
  <c r="BA159" i="3"/>
  <c r="BB160" i="3"/>
  <c r="BC160" i="3"/>
  <c r="BD160" i="3"/>
  <c r="BE160" i="3"/>
  <c r="BF160" i="3"/>
  <c r="BG160" i="3"/>
  <c r="BH160" i="3"/>
  <c r="BI160" i="3"/>
  <c r="BJ160" i="3"/>
  <c r="BK160" i="3"/>
  <c r="BB161" i="3"/>
  <c r="BC161" i="3"/>
  <c r="BD161" i="3"/>
  <c r="BE161" i="3"/>
  <c r="BF161" i="3"/>
  <c r="BG161" i="3"/>
  <c r="BH161" i="3"/>
  <c r="BI161" i="3"/>
  <c r="BJ161" i="3"/>
  <c r="BK161" i="3"/>
  <c r="BA161" i="3"/>
  <c r="BB162" i="3"/>
  <c r="BC162" i="3"/>
  <c r="BD162" i="3"/>
  <c r="BE162" i="3"/>
  <c r="BF162" i="3"/>
  <c r="BG162" i="3"/>
  <c r="BH162" i="3"/>
  <c r="BI162" i="3"/>
  <c r="BJ162" i="3"/>
  <c r="BK162" i="3"/>
  <c r="BB163" i="3"/>
  <c r="BC163" i="3"/>
  <c r="BD163" i="3"/>
  <c r="BE163" i="3"/>
  <c r="BF163" i="3"/>
  <c r="BG163" i="3"/>
  <c r="BH163" i="3"/>
  <c r="BI163" i="3"/>
  <c r="BJ163" i="3"/>
  <c r="BK163" i="3"/>
  <c r="BA163" i="3"/>
  <c r="BB164" i="3"/>
  <c r="BC164" i="3"/>
  <c r="BD164" i="3"/>
  <c r="BE164" i="3"/>
  <c r="BF164" i="3"/>
  <c r="BG164" i="3"/>
  <c r="BH164" i="3"/>
  <c r="BI164" i="3"/>
  <c r="BJ164" i="3"/>
  <c r="BK164" i="3"/>
  <c r="BB165" i="3"/>
  <c r="BC165" i="3"/>
  <c r="BD165" i="3"/>
  <c r="BE165" i="3"/>
  <c r="BF165" i="3"/>
  <c r="BG165" i="3"/>
  <c r="BH165" i="3"/>
  <c r="BI165" i="3"/>
  <c r="BJ165" i="3"/>
  <c r="BK165" i="3"/>
  <c r="BA165" i="3"/>
  <c r="BB166" i="3"/>
  <c r="BC166" i="3"/>
  <c r="BD166" i="3"/>
  <c r="BE166" i="3"/>
  <c r="BF166" i="3"/>
  <c r="BG166" i="3"/>
  <c r="BH166" i="3"/>
  <c r="BI166" i="3"/>
  <c r="BJ166" i="3"/>
  <c r="BK166" i="3"/>
  <c r="BB167" i="3"/>
  <c r="BC167" i="3"/>
  <c r="BD167" i="3"/>
  <c r="BE167" i="3"/>
  <c r="BF167" i="3"/>
  <c r="BG167" i="3"/>
  <c r="BH167" i="3"/>
  <c r="BI167" i="3"/>
  <c r="BJ167" i="3"/>
  <c r="BK167" i="3"/>
  <c r="BA167" i="3"/>
  <c r="BB168" i="3"/>
  <c r="BC168" i="3"/>
  <c r="BD168" i="3"/>
  <c r="BE168" i="3"/>
  <c r="BF168" i="3"/>
  <c r="BG168" i="3"/>
  <c r="BH168" i="3"/>
  <c r="BI168" i="3"/>
  <c r="BJ168" i="3"/>
  <c r="BK168" i="3"/>
  <c r="BB169" i="3"/>
  <c r="BC169" i="3"/>
  <c r="BD169" i="3"/>
  <c r="BE169" i="3"/>
  <c r="BF169" i="3"/>
  <c r="BG169" i="3"/>
  <c r="BH169" i="3"/>
  <c r="BI169" i="3"/>
  <c r="BJ169" i="3"/>
  <c r="BK169" i="3"/>
  <c r="BA169" i="3"/>
  <c r="BB170" i="3"/>
  <c r="BC170" i="3"/>
  <c r="BD170" i="3"/>
  <c r="BE170" i="3"/>
  <c r="BF170" i="3"/>
  <c r="BG170" i="3"/>
  <c r="BH170" i="3"/>
  <c r="BI170" i="3"/>
  <c r="BJ170" i="3"/>
  <c r="BK170" i="3"/>
  <c r="BB171" i="3"/>
  <c r="BC171" i="3"/>
  <c r="BD171" i="3"/>
  <c r="BE171" i="3"/>
  <c r="BF171" i="3"/>
  <c r="BG171" i="3"/>
  <c r="BH171" i="3"/>
  <c r="BI171" i="3"/>
  <c r="BJ171" i="3"/>
  <c r="BK171" i="3"/>
  <c r="BA171" i="3"/>
  <c r="BB172" i="3"/>
  <c r="BC172" i="3"/>
  <c r="BD172" i="3"/>
  <c r="BE172" i="3"/>
  <c r="BF172" i="3"/>
  <c r="BG172" i="3"/>
  <c r="BH172" i="3"/>
  <c r="BI172" i="3"/>
  <c r="BJ172" i="3"/>
  <c r="BK172" i="3"/>
  <c r="BB173" i="3"/>
  <c r="BC173" i="3"/>
  <c r="BD173" i="3"/>
  <c r="BE173" i="3"/>
  <c r="BF173" i="3"/>
  <c r="BG173" i="3"/>
  <c r="BH173" i="3"/>
  <c r="BI173" i="3"/>
  <c r="BJ173" i="3"/>
  <c r="BK173" i="3"/>
  <c r="BA173" i="3"/>
  <c r="BB174" i="3"/>
  <c r="BC174" i="3"/>
  <c r="BD174" i="3"/>
  <c r="BE174" i="3"/>
  <c r="BF174" i="3"/>
  <c r="BG174" i="3"/>
  <c r="BH174" i="3"/>
  <c r="BI174" i="3"/>
  <c r="BJ174" i="3"/>
  <c r="BK174" i="3"/>
  <c r="BB175" i="3"/>
  <c r="BC175" i="3"/>
  <c r="BD175" i="3"/>
  <c r="BE175" i="3"/>
  <c r="BF175" i="3"/>
  <c r="BG175" i="3"/>
  <c r="BH175" i="3"/>
  <c r="BI175" i="3"/>
  <c r="BJ175" i="3"/>
  <c r="BK175" i="3"/>
  <c r="BA175" i="3"/>
  <c r="BB176" i="3"/>
  <c r="BC176" i="3"/>
  <c r="BD176" i="3"/>
  <c r="BE176" i="3"/>
  <c r="BF176" i="3"/>
  <c r="BG176" i="3"/>
  <c r="BH176" i="3"/>
  <c r="BI176" i="3"/>
  <c r="BJ176" i="3"/>
  <c r="BK176" i="3"/>
  <c r="BB177" i="3"/>
  <c r="BC177" i="3"/>
  <c r="BD177" i="3"/>
  <c r="BE177" i="3"/>
  <c r="BF177" i="3"/>
  <c r="BG177" i="3"/>
  <c r="BH177" i="3"/>
  <c r="BI177" i="3"/>
  <c r="BJ177" i="3"/>
  <c r="BK177" i="3"/>
  <c r="BA177" i="3"/>
  <c r="BB178" i="3"/>
  <c r="BC178" i="3"/>
  <c r="BD178" i="3"/>
  <c r="BE178" i="3"/>
  <c r="BF178" i="3"/>
  <c r="BG178" i="3"/>
  <c r="BH178" i="3"/>
  <c r="BI178" i="3"/>
  <c r="BJ178" i="3"/>
  <c r="BK178" i="3"/>
  <c r="BB179" i="3"/>
  <c r="BC179" i="3"/>
  <c r="BD179" i="3"/>
  <c r="BE179" i="3"/>
  <c r="BF179" i="3"/>
  <c r="BG179" i="3"/>
  <c r="BH179" i="3"/>
  <c r="BI179" i="3"/>
  <c r="BJ179" i="3"/>
  <c r="BK179" i="3"/>
  <c r="BA179" i="3"/>
  <c r="BB180" i="3"/>
  <c r="BC180" i="3"/>
  <c r="BD180" i="3"/>
  <c r="BE180" i="3"/>
  <c r="BF180" i="3"/>
  <c r="BG180" i="3"/>
  <c r="BH180" i="3"/>
  <c r="BI180" i="3"/>
  <c r="BJ180" i="3"/>
  <c r="BK180" i="3"/>
  <c r="BB181" i="3"/>
  <c r="BC181" i="3"/>
  <c r="BD181" i="3"/>
  <c r="BE181" i="3"/>
  <c r="BF181" i="3"/>
  <c r="BG181" i="3"/>
  <c r="BH181" i="3"/>
  <c r="BI181" i="3"/>
  <c r="BJ181" i="3"/>
  <c r="BK181" i="3"/>
  <c r="BA181" i="3"/>
  <c r="BB182" i="3"/>
  <c r="BC182" i="3"/>
  <c r="BD182" i="3"/>
  <c r="BE182" i="3"/>
  <c r="BF182" i="3"/>
  <c r="BG182" i="3"/>
  <c r="BH182" i="3"/>
  <c r="BI182" i="3"/>
  <c r="BJ182" i="3"/>
  <c r="BK182" i="3"/>
  <c r="BB183" i="3"/>
  <c r="BC183" i="3"/>
  <c r="BD183" i="3"/>
  <c r="BE183" i="3"/>
  <c r="BF183" i="3"/>
  <c r="BG183" i="3"/>
  <c r="BH183" i="3"/>
  <c r="BI183" i="3"/>
  <c r="BJ183" i="3"/>
  <c r="BK183" i="3"/>
  <c r="BA183" i="3"/>
  <c r="BB184" i="3"/>
  <c r="BC184" i="3"/>
  <c r="BD184" i="3"/>
  <c r="BE184" i="3"/>
  <c r="BF184" i="3"/>
  <c r="BG184" i="3"/>
  <c r="BH184" i="3"/>
  <c r="BI184" i="3"/>
  <c r="BJ184" i="3"/>
  <c r="BK184" i="3"/>
  <c r="BB185" i="3"/>
  <c r="BC185" i="3"/>
  <c r="BD185" i="3"/>
  <c r="BE185" i="3"/>
  <c r="BF185" i="3"/>
  <c r="BG185" i="3"/>
  <c r="BH185" i="3"/>
  <c r="BI185" i="3"/>
  <c r="BJ185" i="3"/>
  <c r="BK185" i="3"/>
  <c r="BA185" i="3"/>
  <c r="BB186" i="3"/>
  <c r="BC186" i="3"/>
  <c r="BD186" i="3"/>
  <c r="BE186" i="3"/>
  <c r="BF186" i="3"/>
  <c r="BG186" i="3"/>
  <c r="BH186" i="3"/>
  <c r="BI186" i="3"/>
  <c r="BJ186" i="3"/>
  <c r="BK186" i="3"/>
  <c r="BB187" i="3"/>
  <c r="BC187" i="3"/>
  <c r="BD187" i="3"/>
  <c r="BE187" i="3"/>
  <c r="BF187" i="3"/>
  <c r="BG187" i="3"/>
  <c r="BH187" i="3"/>
  <c r="BI187" i="3"/>
  <c r="BJ187" i="3"/>
  <c r="BK187" i="3"/>
  <c r="BA187" i="3"/>
  <c r="BB188" i="3"/>
  <c r="BC188" i="3"/>
  <c r="BD188" i="3"/>
  <c r="BE188" i="3"/>
  <c r="BF188" i="3"/>
  <c r="BG188" i="3"/>
  <c r="BH188" i="3"/>
  <c r="BI188" i="3"/>
  <c r="BJ188" i="3"/>
  <c r="BK188" i="3"/>
  <c r="BB189" i="3"/>
  <c r="BC189" i="3"/>
  <c r="BD189" i="3"/>
  <c r="BE189" i="3"/>
  <c r="BF189" i="3"/>
  <c r="BG189" i="3"/>
  <c r="BH189" i="3"/>
  <c r="BI189" i="3"/>
  <c r="BJ189" i="3"/>
  <c r="BK189" i="3"/>
  <c r="BA189" i="3"/>
  <c r="BB190" i="3"/>
  <c r="BC190" i="3"/>
  <c r="BD190" i="3"/>
  <c r="BE190" i="3"/>
  <c r="BF190" i="3"/>
  <c r="BG190" i="3"/>
  <c r="BH190" i="3"/>
  <c r="BI190" i="3"/>
  <c r="BJ190" i="3"/>
  <c r="BK190" i="3"/>
  <c r="BB191" i="3"/>
  <c r="BC191" i="3"/>
  <c r="BD191" i="3"/>
  <c r="BE191" i="3"/>
  <c r="BF191" i="3"/>
  <c r="BG191" i="3"/>
  <c r="BH191" i="3"/>
  <c r="BI191" i="3"/>
  <c r="BJ191" i="3"/>
  <c r="BK191" i="3"/>
  <c r="BA191" i="3"/>
  <c r="BB192" i="3"/>
  <c r="BC192" i="3"/>
  <c r="BD192" i="3"/>
  <c r="BE192" i="3"/>
  <c r="BF192" i="3"/>
  <c r="BG192" i="3"/>
  <c r="BH192" i="3"/>
  <c r="BI192" i="3"/>
  <c r="BJ192" i="3"/>
  <c r="BK192" i="3"/>
  <c r="BB193" i="3"/>
  <c r="BC193" i="3"/>
  <c r="BD193" i="3"/>
  <c r="BE193" i="3"/>
  <c r="BF193" i="3"/>
  <c r="BG193" i="3"/>
  <c r="BH193" i="3"/>
  <c r="BI193" i="3"/>
  <c r="BJ193" i="3"/>
  <c r="BK193" i="3"/>
  <c r="BA193" i="3"/>
  <c r="BB194" i="3"/>
  <c r="BC194" i="3"/>
  <c r="BD194" i="3"/>
  <c r="BE194" i="3"/>
  <c r="BF194" i="3"/>
  <c r="BG194" i="3"/>
  <c r="BH194" i="3"/>
  <c r="BI194" i="3"/>
  <c r="BJ194" i="3"/>
  <c r="BK194" i="3"/>
  <c r="BB195" i="3"/>
  <c r="BC195" i="3"/>
  <c r="BD195" i="3"/>
  <c r="BE195" i="3"/>
  <c r="BF195" i="3"/>
  <c r="BG195" i="3"/>
  <c r="BH195" i="3"/>
  <c r="BI195" i="3"/>
  <c r="BJ195" i="3"/>
  <c r="BK195" i="3"/>
  <c r="BA195" i="3"/>
  <c r="BB196" i="3"/>
  <c r="BC196" i="3"/>
  <c r="BD196" i="3"/>
  <c r="BE196" i="3"/>
  <c r="BF196" i="3"/>
  <c r="BG196" i="3"/>
  <c r="BH196" i="3"/>
  <c r="BI196" i="3"/>
  <c r="BJ196" i="3"/>
  <c r="BK196" i="3"/>
  <c r="BB197" i="3"/>
  <c r="BC197" i="3"/>
  <c r="BD197" i="3"/>
  <c r="BE197" i="3"/>
  <c r="BF197" i="3"/>
  <c r="BG197" i="3"/>
  <c r="BH197" i="3"/>
  <c r="BI197" i="3"/>
  <c r="BJ197" i="3"/>
  <c r="BK197" i="3"/>
  <c r="BA197" i="3"/>
  <c r="BB198" i="3"/>
  <c r="BC198" i="3"/>
  <c r="BD198" i="3"/>
  <c r="BE198" i="3"/>
  <c r="BF198" i="3"/>
  <c r="BG198" i="3"/>
  <c r="BH198" i="3"/>
  <c r="BI198" i="3"/>
  <c r="BJ198" i="3"/>
  <c r="BK198" i="3"/>
  <c r="BB199" i="3"/>
  <c r="BC199" i="3"/>
  <c r="BD199" i="3"/>
  <c r="BE199" i="3"/>
  <c r="BF199" i="3"/>
  <c r="BG199" i="3"/>
  <c r="BH199" i="3"/>
  <c r="BI199" i="3"/>
  <c r="BJ199" i="3"/>
  <c r="BK199" i="3"/>
  <c r="BA199" i="3"/>
  <c r="BB200" i="3"/>
  <c r="BC200" i="3"/>
  <c r="BD200" i="3"/>
  <c r="BE200" i="3"/>
  <c r="BF200" i="3"/>
  <c r="BG200" i="3"/>
  <c r="BH200" i="3"/>
  <c r="BI200" i="3"/>
  <c r="BJ200" i="3"/>
  <c r="BK200" i="3"/>
  <c r="BB201" i="3"/>
  <c r="BC201" i="3"/>
  <c r="BD201" i="3"/>
  <c r="BE201" i="3"/>
  <c r="BF201" i="3"/>
  <c r="BG201" i="3"/>
  <c r="BH201" i="3"/>
  <c r="BI201" i="3"/>
  <c r="BJ201" i="3"/>
  <c r="BK201" i="3"/>
  <c r="BA201" i="3"/>
  <c r="BB202" i="3"/>
  <c r="BC202" i="3"/>
  <c r="BD202" i="3"/>
  <c r="BE202" i="3"/>
  <c r="BF202" i="3"/>
  <c r="BG202" i="3"/>
  <c r="BH202" i="3"/>
  <c r="BI202" i="3"/>
  <c r="BJ202" i="3"/>
  <c r="BK202" i="3"/>
  <c r="BB203" i="3"/>
  <c r="BC203" i="3"/>
  <c r="BD203" i="3"/>
  <c r="BE203" i="3"/>
  <c r="BF203" i="3"/>
  <c r="BG203" i="3"/>
  <c r="BH203" i="3"/>
  <c r="BI203" i="3"/>
  <c r="BJ203" i="3"/>
  <c r="BK203" i="3"/>
  <c r="BA203" i="3"/>
  <c r="BB204" i="3"/>
  <c r="BC204" i="3"/>
  <c r="BD204" i="3"/>
  <c r="BE204" i="3"/>
  <c r="BF204" i="3"/>
  <c r="BG204" i="3"/>
  <c r="BH204" i="3"/>
  <c r="BI204" i="3"/>
  <c r="BJ204" i="3"/>
  <c r="BK204" i="3"/>
  <c r="BB205" i="3"/>
  <c r="BC205" i="3"/>
  <c r="BD205" i="3"/>
  <c r="BE205" i="3"/>
  <c r="BF205" i="3"/>
  <c r="BG205" i="3"/>
  <c r="BH205" i="3"/>
  <c r="BI205" i="3"/>
  <c r="BJ205" i="3"/>
  <c r="BK205" i="3"/>
  <c r="BA205" i="3"/>
  <c r="BB206" i="3"/>
  <c r="BC206" i="3"/>
  <c r="BD206" i="3"/>
  <c r="BE206" i="3"/>
  <c r="BF206" i="3"/>
  <c r="BG206" i="3"/>
  <c r="BH206" i="3"/>
  <c r="BI206" i="3"/>
  <c r="BJ206" i="3"/>
  <c r="BK206" i="3"/>
  <c r="BB207" i="3"/>
  <c r="BC207" i="3"/>
  <c r="BD207" i="3"/>
  <c r="BE207" i="3"/>
  <c r="BF207" i="3"/>
  <c r="BG207" i="3"/>
  <c r="BH207" i="3"/>
  <c r="BI207" i="3"/>
  <c r="BJ207" i="3"/>
  <c r="BK207" i="3"/>
  <c r="BA207" i="3"/>
  <c r="BB208" i="3"/>
  <c r="BC208" i="3"/>
  <c r="BD208" i="3"/>
  <c r="BE208" i="3"/>
  <c r="BF208" i="3"/>
  <c r="BG208" i="3"/>
  <c r="BH208" i="3"/>
  <c r="BI208" i="3"/>
  <c r="BJ208" i="3"/>
  <c r="BK208" i="3"/>
  <c r="BB209" i="3"/>
  <c r="BC209" i="3"/>
  <c r="BD209" i="3"/>
  <c r="BE209" i="3"/>
  <c r="BF209" i="3"/>
  <c r="BG209" i="3"/>
  <c r="BH209" i="3"/>
  <c r="BI209" i="3"/>
  <c r="BJ209" i="3"/>
  <c r="BK209" i="3"/>
  <c r="BA209" i="3"/>
  <c r="BB210" i="3"/>
  <c r="BC210" i="3"/>
  <c r="BD210" i="3"/>
  <c r="BE210" i="3"/>
  <c r="BF210" i="3"/>
  <c r="BG210" i="3"/>
  <c r="BH210" i="3"/>
  <c r="BI210" i="3"/>
  <c r="BJ210" i="3"/>
  <c r="BK210" i="3"/>
  <c r="BB211" i="3"/>
  <c r="BC211" i="3"/>
  <c r="BD211" i="3"/>
  <c r="BE211" i="3"/>
  <c r="BF211" i="3"/>
  <c r="BG211" i="3"/>
  <c r="BH211" i="3"/>
  <c r="BI211" i="3"/>
  <c r="BJ211" i="3"/>
  <c r="BK211" i="3"/>
  <c r="BA211" i="3"/>
  <c r="BB212" i="3"/>
  <c r="BC212" i="3"/>
  <c r="BD212" i="3"/>
  <c r="BE212" i="3"/>
  <c r="BF212" i="3"/>
  <c r="BG212" i="3"/>
  <c r="BH212" i="3"/>
  <c r="BI212" i="3"/>
  <c r="BJ212" i="3"/>
  <c r="BK212" i="3"/>
  <c r="BB213" i="3"/>
  <c r="BC213" i="3"/>
  <c r="BD213" i="3"/>
  <c r="BE213" i="3"/>
  <c r="BF213" i="3"/>
  <c r="BG213" i="3"/>
  <c r="BH213" i="3"/>
  <c r="BI213" i="3"/>
  <c r="BJ213" i="3"/>
  <c r="BK213" i="3"/>
  <c r="BA213" i="3"/>
  <c r="BB214" i="3"/>
  <c r="BC214" i="3"/>
  <c r="BD214" i="3"/>
  <c r="BE214" i="3"/>
  <c r="BF214" i="3"/>
  <c r="BG214" i="3"/>
  <c r="BH214" i="3"/>
  <c r="BI214" i="3"/>
  <c r="BJ214" i="3"/>
  <c r="BK214" i="3"/>
  <c r="BB215" i="3"/>
  <c r="BC215" i="3"/>
  <c r="BD215" i="3"/>
  <c r="BE215" i="3"/>
  <c r="BF215" i="3"/>
  <c r="BG215" i="3"/>
  <c r="BH215" i="3"/>
  <c r="BI215" i="3"/>
  <c r="BJ215" i="3"/>
  <c r="BK215" i="3"/>
  <c r="BA215" i="3"/>
  <c r="BB216" i="3"/>
  <c r="BC216" i="3"/>
  <c r="BD216" i="3"/>
  <c r="BE216" i="3"/>
  <c r="BF216" i="3"/>
  <c r="BG216" i="3"/>
  <c r="BH216" i="3"/>
  <c r="BI216" i="3"/>
  <c r="BJ216" i="3"/>
  <c r="BK216" i="3"/>
  <c r="BB217" i="3"/>
  <c r="BC217" i="3"/>
  <c r="BD217" i="3"/>
  <c r="BE217" i="3"/>
  <c r="BF217" i="3"/>
  <c r="BG217" i="3"/>
  <c r="BH217" i="3"/>
  <c r="BI217" i="3"/>
  <c r="BJ217" i="3"/>
  <c r="BK217" i="3"/>
  <c r="BA217" i="3"/>
  <c r="BB218" i="3"/>
  <c r="BC218" i="3"/>
  <c r="BD218" i="3"/>
  <c r="BE218" i="3"/>
  <c r="BF218" i="3"/>
  <c r="BG218" i="3"/>
  <c r="BH218" i="3"/>
  <c r="BI218" i="3"/>
  <c r="BJ218" i="3"/>
  <c r="BK218" i="3"/>
  <c r="BB219" i="3"/>
  <c r="BC219" i="3"/>
  <c r="BD219" i="3"/>
  <c r="BE219" i="3"/>
  <c r="BF219" i="3"/>
  <c r="BG219" i="3"/>
  <c r="BH219" i="3"/>
  <c r="BI219" i="3"/>
  <c r="BJ219" i="3"/>
  <c r="BK219" i="3"/>
  <c r="BA219" i="3"/>
  <c r="BB220" i="3"/>
  <c r="BC220" i="3"/>
  <c r="BD220" i="3"/>
  <c r="BE220" i="3"/>
  <c r="BF220" i="3"/>
  <c r="BG220" i="3"/>
  <c r="BH220" i="3"/>
  <c r="BI220" i="3"/>
  <c r="BJ220" i="3"/>
  <c r="BK220" i="3"/>
  <c r="BB221" i="3"/>
  <c r="BC221" i="3"/>
  <c r="BD221" i="3"/>
  <c r="BE221" i="3"/>
  <c r="BF221" i="3"/>
  <c r="BG221" i="3"/>
  <c r="BH221" i="3"/>
  <c r="BI221" i="3"/>
  <c r="BJ221" i="3"/>
  <c r="BK221" i="3"/>
  <c r="BA221" i="3"/>
  <c r="BB222" i="3"/>
  <c r="BC222" i="3"/>
  <c r="BD222" i="3"/>
  <c r="BE222" i="3"/>
  <c r="BF222" i="3"/>
  <c r="BG222" i="3"/>
  <c r="BH222" i="3"/>
  <c r="BI222" i="3"/>
  <c r="BJ222" i="3"/>
  <c r="BK222" i="3"/>
  <c r="BB223" i="3"/>
  <c r="BC223" i="3"/>
  <c r="BD223" i="3"/>
  <c r="BE223" i="3"/>
  <c r="BF223" i="3"/>
  <c r="BG223" i="3"/>
  <c r="BH223" i="3"/>
  <c r="BI223" i="3"/>
  <c r="BJ223" i="3"/>
  <c r="BK223" i="3"/>
  <c r="BA223" i="3"/>
  <c r="BB224" i="3"/>
  <c r="BC224" i="3"/>
  <c r="BD224" i="3"/>
  <c r="BE224" i="3"/>
  <c r="BF224" i="3"/>
  <c r="BG224" i="3"/>
  <c r="BH224" i="3"/>
  <c r="BI224" i="3"/>
  <c r="BJ224" i="3"/>
  <c r="BK224" i="3"/>
  <c r="BB225" i="3"/>
  <c r="BC225" i="3"/>
  <c r="BD225" i="3"/>
  <c r="BE225" i="3"/>
  <c r="BF225" i="3"/>
  <c r="BG225" i="3"/>
  <c r="BH225" i="3"/>
  <c r="BI225" i="3"/>
  <c r="BJ225" i="3"/>
  <c r="BK225" i="3"/>
  <c r="BA225" i="3"/>
  <c r="BB226" i="3"/>
  <c r="BC226" i="3"/>
  <c r="BD226" i="3"/>
  <c r="BE226" i="3"/>
  <c r="BF226" i="3"/>
  <c r="BG226" i="3"/>
  <c r="BH226" i="3"/>
  <c r="BI226" i="3"/>
  <c r="BJ226" i="3"/>
  <c r="BK226" i="3"/>
  <c r="BB227" i="3"/>
  <c r="BC227" i="3"/>
  <c r="BD227" i="3"/>
  <c r="BE227" i="3"/>
  <c r="BF227" i="3"/>
  <c r="BG227" i="3"/>
  <c r="BH227" i="3"/>
  <c r="BI227" i="3"/>
  <c r="BJ227" i="3"/>
  <c r="BK227" i="3"/>
  <c r="BA227" i="3"/>
  <c r="BB228" i="3"/>
  <c r="BC228" i="3"/>
  <c r="BD228" i="3"/>
  <c r="BE228" i="3"/>
  <c r="BF228" i="3"/>
  <c r="BG228" i="3"/>
  <c r="BH228" i="3"/>
  <c r="BI228" i="3"/>
  <c r="BJ228" i="3"/>
  <c r="BK228" i="3"/>
  <c r="BB229" i="3"/>
  <c r="BC229" i="3"/>
  <c r="BD229" i="3"/>
  <c r="BE229" i="3"/>
  <c r="BF229" i="3"/>
  <c r="BG229" i="3"/>
  <c r="BH229" i="3"/>
  <c r="BI229" i="3"/>
  <c r="BJ229" i="3"/>
  <c r="BK229" i="3"/>
  <c r="BA229" i="3"/>
  <c r="BB230" i="3"/>
  <c r="BC230" i="3"/>
  <c r="BD230" i="3"/>
  <c r="BE230" i="3"/>
  <c r="BF230" i="3"/>
  <c r="BG230" i="3"/>
  <c r="BH230" i="3"/>
  <c r="BI230" i="3"/>
  <c r="BJ230" i="3"/>
  <c r="BK230" i="3"/>
  <c r="BB231" i="3"/>
  <c r="BC231" i="3"/>
  <c r="BD231" i="3"/>
  <c r="BE231" i="3"/>
  <c r="BF231" i="3"/>
  <c r="BG231" i="3"/>
  <c r="BH231" i="3"/>
  <c r="BI231" i="3"/>
  <c r="BJ231" i="3"/>
  <c r="BK231" i="3"/>
  <c r="BA231" i="3"/>
  <c r="BB232" i="3"/>
  <c r="BC232" i="3"/>
  <c r="BD232" i="3"/>
  <c r="BE232" i="3"/>
  <c r="BF232" i="3"/>
  <c r="BG232" i="3"/>
  <c r="BH232" i="3"/>
  <c r="BI232" i="3"/>
  <c r="BJ232" i="3"/>
  <c r="BK232" i="3"/>
  <c r="BB233" i="3"/>
  <c r="BC233" i="3"/>
  <c r="BD233" i="3"/>
  <c r="BE233" i="3"/>
  <c r="BF233" i="3"/>
  <c r="BG233" i="3"/>
  <c r="BH233" i="3"/>
  <c r="BI233" i="3"/>
  <c r="BJ233" i="3"/>
  <c r="BK233" i="3"/>
  <c r="BA233" i="3"/>
  <c r="BB234" i="3"/>
  <c r="BC234" i="3"/>
  <c r="BD234" i="3"/>
  <c r="BE234" i="3"/>
  <c r="BF234" i="3"/>
  <c r="BG234" i="3"/>
  <c r="BH234" i="3"/>
  <c r="BI234" i="3"/>
  <c r="BJ234" i="3"/>
  <c r="BK234" i="3"/>
  <c r="BB235" i="3"/>
  <c r="BC235" i="3"/>
  <c r="BD235" i="3"/>
  <c r="BE235" i="3"/>
  <c r="BF235" i="3"/>
  <c r="BG235" i="3"/>
  <c r="BH235" i="3"/>
  <c r="BI235" i="3"/>
  <c r="BJ235" i="3"/>
  <c r="BK235" i="3"/>
  <c r="BA235" i="3"/>
  <c r="BB236" i="3"/>
  <c r="BC236" i="3"/>
  <c r="BD236" i="3"/>
  <c r="BE236" i="3"/>
  <c r="BF236" i="3"/>
  <c r="BG236" i="3"/>
  <c r="BH236" i="3"/>
  <c r="BI236" i="3"/>
  <c r="BJ236" i="3"/>
  <c r="BK236" i="3"/>
  <c r="BB237" i="3"/>
  <c r="BC237" i="3"/>
  <c r="BD237" i="3"/>
  <c r="BE237" i="3"/>
  <c r="BF237" i="3"/>
  <c r="BG237" i="3"/>
  <c r="BH237" i="3"/>
  <c r="BI237" i="3"/>
  <c r="BJ237" i="3"/>
  <c r="BK237" i="3"/>
  <c r="BA237" i="3"/>
  <c r="BB238" i="3"/>
  <c r="BC238" i="3"/>
  <c r="BD238" i="3"/>
  <c r="BE238" i="3"/>
  <c r="BF238" i="3"/>
  <c r="BG238" i="3"/>
  <c r="BH238" i="3"/>
  <c r="BI238" i="3"/>
  <c r="BJ238" i="3"/>
  <c r="BK238" i="3"/>
  <c r="BB239" i="3"/>
  <c r="BC239" i="3"/>
  <c r="BD239" i="3"/>
  <c r="BE239" i="3"/>
  <c r="BF239" i="3"/>
  <c r="BG239" i="3"/>
  <c r="BH239" i="3"/>
  <c r="BI239" i="3"/>
  <c r="BJ239" i="3"/>
  <c r="BK239" i="3"/>
  <c r="BA239" i="3"/>
  <c r="BB240" i="3"/>
  <c r="BC240" i="3"/>
  <c r="BD240" i="3"/>
  <c r="BE240" i="3"/>
  <c r="BF240" i="3"/>
  <c r="BG240" i="3"/>
  <c r="BH240" i="3"/>
  <c r="BI240" i="3"/>
  <c r="BJ240" i="3"/>
  <c r="BK240" i="3"/>
  <c r="BB241" i="3"/>
  <c r="BC241" i="3"/>
  <c r="BD241" i="3"/>
  <c r="BE241" i="3"/>
  <c r="BF241" i="3"/>
  <c r="BG241" i="3"/>
  <c r="BH241" i="3"/>
  <c r="BI241" i="3"/>
  <c r="BJ241" i="3"/>
  <c r="BK241" i="3"/>
  <c r="BA241" i="3"/>
  <c r="BB242" i="3"/>
  <c r="BC242" i="3"/>
  <c r="BD242" i="3"/>
  <c r="BE242" i="3"/>
  <c r="BF242" i="3"/>
  <c r="BG242" i="3"/>
  <c r="BH242" i="3"/>
  <c r="BI242" i="3"/>
  <c r="BJ242" i="3"/>
  <c r="BK242" i="3"/>
  <c r="BB243" i="3"/>
  <c r="BC243" i="3"/>
  <c r="BD243" i="3"/>
  <c r="BE243" i="3"/>
  <c r="BF243" i="3"/>
  <c r="BG243" i="3"/>
  <c r="BH243" i="3"/>
  <c r="BI243" i="3"/>
  <c r="BJ243" i="3"/>
  <c r="BK243" i="3"/>
  <c r="BA243" i="3"/>
  <c r="BB244" i="3"/>
  <c r="BC244" i="3"/>
  <c r="BD244" i="3"/>
  <c r="BE244" i="3"/>
  <c r="BF244" i="3"/>
  <c r="BG244" i="3"/>
  <c r="BH244" i="3"/>
  <c r="BI244" i="3"/>
  <c r="BJ244" i="3"/>
  <c r="BK244" i="3"/>
  <c r="BB245" i="3"/>
  <c r="BC245" i="3"/>
  <c r="BD245" i="3"/>
  <c r="BE245" i="3"/>
  <c r="BF245" i="3"/>
  <c r="BG245" i="3"/>
  <c r="BH245" i="3"/>
  <c r="BI245" i="3"/>
  <c r="BJ245" i="3"/>
  <c r="BK245" i="3"/>
  <c r="BA245" i="3"/>
  <c r="BB246" i="3"/>
  <c r="BC246" i="3"/>
  <c r="BD246" i="3"/>
  <c r="BE246" i="3"/>
  <c r="BF246" i="3"/>
  <c r="BG246" i="3"/>
  <c r="BH246" i="3"/>
  <c r="BI246" i="3"/>
  <c r="BJ246" i="3"/>
  <c r="BK246" i="3"/>
  <c r="BB247" i="3"/>
  <c r="BC247" i="3"/>
  <c r="BD247" i="3"/>
  <c r="BE247" i="3"/>
  <c r="BF247" i="3"/>
  <c r="BG247" i="3"/>
  <c r="BH247" i="3"/>
  <c r="BI247" i="3"/>
  <c r="BJ247" i="3"/>
  <c r="BK247" i="3"/>
  <c r="BA247" i="3"/>
  <c r="BB248" i="3"/>
  <c r="BC248" i="3"/>
  <c r="BD248" i="3"/>
  <c r="BE248" i="3"/>
  <c r="BF248" i="3"/>
  <c r="BG248" i="3"/>
  <c r="BH248" i="3"/>
  <c r="BI248" i="3"/>
  <c r="BJ248" i="3"/>
  <c r="BK248" i="3"/>
  <c r="BB249" i="3"/>
  <c r="BC249" i="3"/>
  <c r="BD249" i="3"/>
  <c r="BE249" i="3"/>
  <c r="BF249" i="3"/>
  <c r="BG249" i="3"/>
  <c r="BH249" i="3"/>
  <c r="BI249" i="3"/>
  <c r="BJ249" i="3"/>
  <c r="BK249" i="3"/>
  <c r="BA249" i="3"/>
  <c r="BB250" i="3"/>
  <c r="BC250" i="3"/>
  <c r="BD250" i="3"/>
  <c r="BE250" i="3"/>
  <c r="BF250" i="3"/>
  <c r="BG250" i="3"/>
  <c r="BH250" i="3"/>
  <c r="BI250" i="3"/>
  <c r="BJ250" i="3"/>
  <c r="BK250" i="3"/>
  <c r="BB251" i="3"/>
  <c r="BC251" i="3"/>
  <c r="BD251" i="3"/>
  <c r="BE251" i="3"/>
  <c r="BF251" i="3"/>
  <c r="BG251" i="3"/>
  <c r="BH251" i="3"/>
  <c r="BI251" i="3"/>
  <c r="BJ251" i="3"/>
  <c r="BK251" i="3"/>
  <c r="BA251" i="3"/>
  <c r="BB252" i="3"/>
  <c r="BC252" i="3"/>
  <c r="BD252" i="3"/>
  <c r="BE252" i="3"/>
  <c r="BF252" i="3"/>
  <c r="BG252" i="3"/>
  <c r="BH252" i="3"/>
  <c r="BI252" i="3"/>
  <c r="BJ252" i="3"/>
  <c r="BK252" i="3"/>
  <c r="BB253" i="3"/>
  <c r="BC253" i="3"/>
  <c r="BD253" i="3"/>
  <c r="BE253" i="3"/>
  <c r="BF253" i="3"/>
  <c r="BG253" i="3"/>
  <c r="BH253" i="3"/>
  <c r="BI253" i="3"/>
  <c r="BJ253" i="3"/>
  <c r="BK253" i="3"/>
  <c r="BA253" i="3"/>
  <c r="BB254" i="3"/>
  <c r="BC254" i="3"/>
  <c r="BD254" i="3"/>
  <c r="BE254" i="3"/>
  <c r="BF254" i="3"/>
  <c r="BG254" i="3"/>
  <c r="BH254" i="3"/>
  <c r="BI254" i="3"/>
  <c r="BJ254" i="3"/>
  <c r="BK254" i="3"/>
  <c r="BB255" i="3"/>
  <c r="BC255" i="3"/>
  <c r="BD255" i="3"/>
  <c r="BE255" i="3"/>
  <c r="BF255" i="3"/>
  <c r="BG255" i="3"/>
  <c r="BH255" i="3"/>
  <c r="BI255" i="3"/>
  <c r="BJ255" i="3"/>
  <c r="BK255" i="3"/>
  <c r="BA255" i="3"/>
  <c r="BB256" i="3"/>
  <c r="BC256" i="3"/>
  <c r="BD256" i="3"/>
  <c r="BE256" i="3"/>
  <c r="BF256" i="3"/>
  <c r="BG256" i="3"/>
  <c r="BH256" i="3"/>
  <c r="BI256" i="3"/>
  <c r="BJ256" i="3"/>
  <c r="BK256" i="3"/>
  <c r="BB257" i="3"/>
  <c r="BC257" i="3"/>
  <c r="BD257" i="3"/>
  <c r="BE257" i="3"/>
  <c r="BF257" i="3"/>
  <c r="BG257" i="3"/>
  <c r="BH257" i="3"/>
  <c r="BI257" i="3"/>
  <c r="BJ257" i="3"/>
  <c r="BK257" i="3"/>
  <c r="BA257" i="3"/>
  <c r="BB258" i="3"/>
  <c r="BC258" i="3"/>
  <c r="BD258" i="3"/>
  <c r="BE258" i="3"/>
  <c r="BF258" i="3"/>
  <c r="BG258" i="3"/>
  <c r="BH258" i="3"/>
  <c r="BI258" i="3"/>
  <c r="BJ258" i="3"/>
  <c r="BK258" i="3"/>
  <c r="BB259" i="3"/>
  <c r="BC259" i="3"/>
  <c r="BD259" i="3"/>
  <c r="BE259" i="3"/>
  <c r="BF259" i="3"/>
  <c r="BG259" i="3"/>
  <c r="BH259" i="3"/>
  <c r="BI259" i="3"/>
  <c r="BJ259" i="3"/>
  <c r="BK259" i="3"/>
  <c r="BA259" i="3"/>
  <c r="BB260" i="3"/>
  <c r="BC260" i="3"/>
  <c r="BD260" i="3"/>
  <c r="BE260" i="3"/>
  <c r="BF260" i="3"/>
  <c r="BG260" i="3"/>
  <c r="BH260" i="3"/>
  <c r="BI260" i="3"/>
  <c r="BJ260" i="3"/>
  <c r="BK260" i="3"/>
  <c r="BB261" i="3"/>
  <c r="BC261" i="3"/>
  <c r="BD261" i="3"/>
  <c r="BE261" i="3"/>
  <c r="BF261" i="3"/>
  <c r="BG261" i="3"/>
  <c r="BH261" i="3"/>
  <c r="BI261" i="3"/>
  <c r="BJ261" i="3"/>
  <c r="BK261" i="3"/>
  <c r="BA261" i="3"/>
  <c r="BB262" i="3"/>
  <c r="BC262" i="3"/>
  <c r="BD262" i="3"/>
  <c r="BE262" i="3"/>
  <c r="BF262" i="3"/>
  <c r="BG262" i="3"/>
  <c r="BH262" i="3"/>
  <c r="BI262" i="3"/>
  <c r="BJ262" i="3"/>
  <c r="BK262" i="3"/>
  <c r="BB263" i="3"/>
  <c r="BC263" i="3"/>
  <c r="BD263" i="3"/>
  <c r="BE263" i="3"/>
  <c r="BF263" i="3"/>
  <c r="BG263" i="3"/>
  <c r="BH263" i="3"/>
  <c r="BI263" i="3"/>
  <c r="BJ263" i="3"/>
  <c r="BK263" i="3"/>
  <c r="BA263" i="3"/>
  <c r="BB264" i="3"/>
  <c r="BC264" i="3"/>
  <c r="BD264" i="3"/>
  <c r="BE264" i="3"/>
  <c r="BF264" i="3"/>
  <c r="BG264" i="3"/>
  <c r="BH264" i="3"/>
  <c r="BI264" i="3"/>
  <c r="BJ264" i="3"/>
  <c r="BK264" i="3"/>
  <c r="BB265" i="3"/>
  <c r="BC265" i="3"/>
  <c r="BD265" i="3"/>
  <c r="BE265" i="3"/>
  <c r="BF265" i="3"/>
  <c r="BG265" i="3"/>
  <c r="BH265" i="3"/>
  <c r="BI265" i="3"/>
  <c r="BJ265" i="3"/>
  <c r="BK265" i="3"/>
  <c r="BA265" i="3"/>
  <c r="BB266" i="3"/>
  <c r="BC266" i="3"/>
  <c r="BD266" i="3"/>
  <c r="BE266" i="3"/>
  <c r="BF266" i="3"/>
  <c r="BG266" i="3"/>
  <c r="BH266" i="3"/>
  <c r="BI266" i="3"/>
  <c r="BJ266" i="3"/>
  <c r="BK266" i="3"/>
  <c r="BB267" i="3"/>
  <c r="BC267" i="3"/>
  <c r="BD267" i="3"/>
  <c r="BE267" i="3"/>
  <c r="BF267" i="3"/>
  <c r="BG267" i="3"/>
  <c r="BH267" i="3"/>
  <c r="BI267" i="3"/>
  <c r="BJ267" i="3"/>
  <c r="BK267" i="3"/>
  <c r="BA267" i="3"/>
  <c r="BB268" i="3"/>
  <c r="BC268" i="3"/>
  <c r="BD268" i="3"/>
  <c r="BE268" i="3"/>
  <c r="BF268" i="3"/>
  <c r="BG268" i="3"/>
  <c r="BH268" i="3"/>
  <c r="BI268" i="3"/>
  <c r="BJ268" i="3"/>
  <c r="BK268" i="3"/>
  <c r="BB269" i="3"/>
  <c r="BC269" i="3"/>
  <c r="BD269" i="3"/>
  <c r="BE269" i="3"/>
  <c r="BF269" i="3"/>
  <c r="BG269" i="3"/>
  <c r="BH269" i="3"/>
  <c r="BI269" i="3"/>
  <c r="BJ269" i="3"/>
  <c r="BK269" i="3"/>
  <c r="BA269" i="3"/>
  <c r="BB270" i="3"/>
  <c r="BC270" i="3"/>
  <c r="BD270" i="3"/>
  <c r="BE270" i="3"/>
  <c r="BF270" i="3"/>
  <c r="BG270" i="3"/>
  <c r="BH270" i="3"/>
  <c r="BI270" i="3"/>
  <c r="BJ270" i="3"/>
  <c r="BK270" i="3"/>
  <c r="BB271" i="3"/>
  <c r="BC271" i="3"/>
  <c r="BD271" i="3"/>
  <c r="BE271" i="3"/>
  <c r="BF271" i="3"/>
  <c r="BG271" i="3"/>
  <c r="BH271" i="3"/>
  <c r="BI271" i="3"/>
  <c r="BJ271" i="3"/>
  <c r="BK271" i="3"/>
  <c r="BA271" i="3"/>
  <c r="BB272" i="3"/>
  <c r="BC272" i="3"/>
  <c r="BD272" i="3"/>
  <c r="BE272" i="3"/>
  <c r="BF272" i="3"/>
  <c r="BG272" i="3"/>
  <c r="BH272" i="3"/>
  <c r="BI272" i="3"/>
  <c r="BJ272" i="3"/>
  <c r="BK272" i="3"/>
  <c r="BB273" i="3"/>
  <c r="BC273" i="3"/>
  <c r="BD273" i="3"/>
  <c r="BE273" i="3"/>
  <c r="BF273" i="3"/>
  <c r="BG273" i="3"/>
  <c r="BH273" i="3"/>
  <c r="BI273" i="3"/>
  <c r="BJ273" i="3"/>
  <c r="BK273" i="3"/>
  <c r="BA273" i="3"/>
  <c r="BB274" i="3"/>
  <c r="BC274" i="3"/>
  <c r="BD274" i="3"/>
  <c r="BE274" i="3"/>
  <c r="BF274" i="3"/>
  <c r="BG274" i="3"/>
  <c r="BH274" i="3"/>
  <c r="BI274" i="3"/>
  <c r="BJ274" i="3"/>
  <c r="BK274" i="3"/>
  <c r="BB275" i="3"/>
  <c r="BC275" i="3"/>
  <c r="BD275" i="3"/>
  <c r="BE275" i="3"/>
  <c r="BF275" i="3"/>
  <c r="BG275" i="3"/>
  <c r="BH275" i="3"/>
  <c r="BI275" i="3"/>
  <c r="BJ275" i="3"/>
  <c r="BK275" i="3"/>
  <c r="BA275" i="3"/>
  <c r="BB276" i="3"/>
  <c r="BC276" i="3"/>
  <c r="BD276" i="3"/>
  <c r="BE276" i="3"/>
  <c r="BF276" i="3"/>
  <c r="BG276" i="3"/>
  <c r="BH276" i="3"/>
  <c r="BI276" i="3"/>
  <c r="BJ276" i="3"/>
  <c r="BK276" i="3"/>
  <c r="BB277" i="3"/>
  <c r="BC277" i="3"/>
  <c r="BD277" i="3"/>
  <c r="BE277" i="3"/>
  <c r="BF277" i="3"/>
  <c r="BG277" i="3"/>
  <c r="BH277" i="3"/>
  <c r="BI277" i="3"/>
  <c r="BJ277" i="3"/>
  <c r="BK277" i="3"/>
  <c r="BA277" i="3"/>
  <c r="BB278" i="3"/>
  <c r="BC278" i="3"/>
  <c r="BD278" i="3"/>
  <c r="BE278" i="3"/>
  <c r="BF278" i="3"/>
  <c r="BG278" i="3"/>
  <c r="BH278" i="3"/>
  <c r="BI278" i="3"/>
  <c r="BJ278" i="3"/>
  <c r="BK278" i="3"/>
  <c r="BB279" i="3"/>
  <c r="BC279" i="3"/>
  <c r="BD279" i="3"/>
  <c r="BE279" i="3"/>
  <c r="BF279" i="3"/>
  <c r="BG279" i="3"/>
  <c r="BH279" i="3"/>
  <c r="BI279" i="3"/>
  <c r="BJ279" i="3"/>
  <c r="BK279" i="3"/>
  <c r="BA279" i="3"/>
  <c r="BB280" i="3"/>
  <c r="BC280" i="3"/>
  <c r="BD280" i="3"/>
  <c r="BE280" i="3"/>
  <c r="BF280" i="3"/>
  <c r="BG280" i="3"/>
  <c r="BH280" i="3"/>
  <c r="BI280" i="3"/>
  <c r="BJ280" i="3"/>
  <c r="BK280" i="3"/>
  <c r="BB281" i="3"/>
  <c r="BC281" i="3"/>
  <c r="BD281" i="3"/>
  <c r="BE281" i="3"/>
  <c r="BF281" i="3"/>
  <c r="BG281" i="3"/>
  <c r="BH281" i="3"/>
  <c r="BI281" i="3"/>
  <c r="BJ281" i="3"/>
  <c r="BK281" i="3"/>
  <c r="BA281" i="3"/>
  <c r="BB282" i="3"/>
  <c r="BC282" i="3"/>
  <c r="BD282" i="3"/>
  <c r="BE282" i="3"/>
  <c r="BF282" i="3"/>
  <c r="BG282" i="3"/>
  <c r="BH282" i="3"/>
  <c r="BI282" i="3"/>
  <c r="BJ282" i="3"/>
  <c r="BK282" i="3"/>
  <c r="BB283" i="3"/>
  <c r="BC283" i="3"/>
  <c r="BD283" i="3"/>
  <c r="BE283" i="3"/>
  <c r="BF283" i="3"/>
  <c r="BG283" i="3"/>
  <c r="BH283" i="3"/>
  <c r="BI283" i="3"/>
  <c r="BJ283" i="3"/>
  <c r="BK283" i="3"/>
  <c r="BA283" i="3"/>
  <c r="BB284" i="3"/>
  <c r="BC284" i="3"/>
  <c r="BD284" i="3"/>
  <c r="BE284" i="3"/>
  <c r="BF284" i="3"/>
  <c r="BG284" i="3"/>
  <c r="BH284" i="3"/>
  <c r="BI284" i="3"/>
  <c r="BJ284" i="3"/>
  <c r="BK284" i="3"/>
  <c r="BB285" i="3"/>
  <c r="BC285" i="3"/>
  <c r="BD285" i="3"/>
  <c r="BE285" i="3"/>
  <c r="BF285" i="3"/>
  <c r="BG285" i="3"/>
  <c r="BH285" i="3"/>
  <c r="BI285" i="3"/>
  <c r="BJ285" i="3"/>
  <c r="BK285" i="3"/>
  <c r="BA285" i="3"/>
  <c r="BB286" i="3"/>
  <c r="BC286" i="3"/>
  <c r="BD286" i="3"/>
  <c r="BE286" i="3"/>
  <c r="BF286" i="3"/>
  <c r="BG286" i="3"/>
  <c r="BH286" i="3"/>
  <c r="BI286" i="3"/>
  <c r="BJ286" i="3"/>
  <c r="BK286" i="3"/>
  <c r="BB287" i="3"/>
  <c r="BC287" i="3"/>
  <c r="BD287" i="3"/>
  <c r="BE287" i="3"/>
  <c r="BF287" i="3"/>
  <c r="BG287" i="3"/>
  <c r="BH287" i="3"/>
  <c r="BI287" i="3"/>
  <c r="BJ287" i="3"/>
  <c r="BK287" i="3"/>
  <c r="BA287" i="3"/>
  <c r="BB288" i="3"/>
  <c r="BC288" i="3"/>
  <c r="BD288" i="3"/>
  <c r="BE288" i="3"/>
  <c r="BF288" i="3"/>
  <c r="BG288" i="3"/>
  <c r="BH288" i="3"/>
  <c r="BI288" i="3"/>
  <c r="BJ288" i="3"/>
  <c r="BK288" i="3"/>
  <c r="BB289" i="3"/>
  <c r="BC289" i="3"/>
  <c r="BD289" i="3"/>
  <c r="BE289" i="3"/>
  <c r="BF289" i="3"/>
  <c r="BG289" i="3"/>
  <c r="BH289" i="3"/>
  <c r="BI289" i="3"/>
  <c r="BJ289" i="3"/>
  <c r="BK289" i="3"/>
  <c r="BA289" i="3"/>
  <c r="BB290" i="3"/>
  <c r="BC290" i="3"/>
  <c r="BD290" i="3"/>
  <c r="BE290" i="3"/>
  <c r="BF290" i="3"/>
  <c r="BG290" i="3"/>
  <c r="BH290" i="3"/>
  <c r="BI290" i="3"/>
  <c r="BJ290" i="3"/>
  <c r="BK290" i="3"/>
  <c r="BB291" i="3"/>
  <c r="BC291" i="3"/>
  <c r="BD291" i="3"/>
  <c r="BE291" i="3"/>
  <c r="BF291" i="3"/>
  <c r="BG291" i="3"/>
  <c r="BH291" i="3"/>
  <c r="BI291" i="3"/>
  <c r="BJ291" i="3"/>
  <c r="BK291" i="3"/>
  <c r="BA291" i="3"/>
  <c r="BB292" i="3"/>
  <c r="BC292" i="3"/>
  <c r="BD292" i="3"/>
  <c r="BE292" i="3"/>
  <c r="BF292" i="3"/>
  <c r="BG292" i="3"/>
  <c r="BH292" i="3"/>
  <c r="BI292" i="3"/>
  <c r="BJ292" i="3"/>
  <c r="BK292" i="3"/>
  <c r="BB293" i="3"/>
  <c r="BC293" i="3"/>
  <c r="BD293" i="3"/>
  <c r="BE293" i="3"/>
  <c r="BF293" i="3"/>
  <c r="BG293" i="3"/>
  <c r="BH293" i="3"/>
  <c r="BI293" i="3"/>
  <c r="BJ293" i="3"/>
  <c r="BK293" i="3"/>
  <c r="BA293" i="3"/>
  <c r="BB294" i="3"/>
  <c r="BC294" i="3"/>
  <c r="BD294" i="3"/>
  <c r="BE294" i="3"/>
  <c r="BF294" i="3"/>
  <c r="BG294" i="3"/>
  <c r="BH294" i="3"/>
  <c r="BI294" i="3"/>
  <c r="BJ294" i="3"/>
  <c r="BK294" i="3"/>
  <c r="BB295" i="3"/>
  <c r="BC295" i="3"/>
  <c r="BD295" i="3"/>
  <c r="BE295" i="3"/>
  <c r="BF295" i="3"/>
  <c r="BG295" i="3"/>
  <c r="BH295" i="3"/>
  <c r="BI295" i="3"/>
  <c r="BJ295" i="3"/>
  <c r="BK295" i="3"/>
  <c r="BA295" i="3"/>
  <c r="BB296" i="3"/>
  <c r="BC296" i="3"/>
  <c r="BD296" i="3"/>
  <c r="BE296" i="3"/>
  <c r="BF296" i="3"/>
  <c r="BG296" i="3"/>
  <c r="BH296" i="3"/>
  <c r="BI296" i="3"/>
  <c r="BJ296" i="3"/>
  <c r="BK296" i="3"/>
  <c r="BB297" i="3"/>
  <c r="BC297" i="3"/>
  <c r="BD297" i="3"/>
  <c r="BE297" i="3"/>
  <c r="BF297" i="3"/>
  <c r="BG297" i="3"/>
  <c r="BH297" i="3"/>
  <c r="BI297" i="3"/>
  <c r="BJ297" i="3"/>
  <c r="BK297" i="3"/>
  <c r="BA297" i="3"/>
  <c r="BB298" i="3"/>
  <c r="BC298" i="3"/>
  <c r="BD298" i="3"/>
  <c r="BE298" i="3"/>
  <c r="BF298" i="3"/>
  <c r="BG298" i="3"/>
  <c r="BH298" i="3"/>
  <c r="BI298" i="3"/>
  <c r="BJ298" i="3"/>
  <c r="BK298" i="3"/>
  <c r="BB299" i="3"/>
  <c r="BC299" i="3"/>
  <c r="BD299" i="3"/>
  <c r="BE299" i="3"/>
  <c r="BF299" i="3"/>
  <c r="BG299" i="3"/>
  <c r="BH299" i="3"/>
  <c r="BI299" i="3"/>
  <c r="BJ299" i="3"/>
  <c r="BK299" i="3"/>
  <c r="BA299" i="3"/>
  <c r="BB300" i="3"/>
  <c r="BC300" i="3"/>
  <c r="BD300" i="3"/>
  <c r="BE300" i="3"/>
  <c r="BF300" i="3"/>
  <c r="BG300" i="3"/>
  <c r="BH300" i="3"/>
  <c r="BI300" i="3"/>
  <c r="BJ300" i="3"/>
  <c r="BK300" i="3"/>
  <c r="BB301" i="3"/>
  <c r="BC301" i="3"/>
  <c r="BD301" i="3"/>
  <c r="BE301" i="3"/>
  <c r="BF301" i="3"/>
  <c r="BG301" i="3"/>
  <c r="BH301" i="3"/>
  <c r="BI301" i="3"/>
  <c r="BJ301" i="3"/>
  <c r="BK301" i="3"/>
  <c r="BA301" i="3"/>
  <c r="BB302" i="3"/>
  <c r="BC302" i="3"/>
  <c r="BD302" i="3"/>
  <c r="BE302" i="3"/>
  <c r="BF302" i="3"/>
  <c r="BG302" i="3"/>
  <c r="BH302" i="3"/>
  <c r="BI302" i="3"/>
  <c r="BJ302" i="3"/>
  <c r="BK302" i="3"/>
  <c r="BB303" i="3"/>
  <c r="BC303" i="3"/>
  <c r="BD303" i="3"/>
  <c r="BE303" i="3"/>
  <c r="BF303" i="3"/>
  <c r="BG303" i="3"/>
  <c r="BH303" i="3"/>
  <c r="BI303" i="3"/>
  <c r="BJ303" i="3"/>
  <c r="BK303" i="3"/>
  <c r="BA303" i="3"/>
  <c r="BB304" i="3"/>
  <c r="BC304" i="3"/>
  <c r="BD304" i="3"/>
  <c r="BE304" i="3"/>
  <c r="BF304" i="3"/>
  <c r="BG304" i="3"/>
  <c r="BH304" i="3"/>
  <c r="BI304" i="3"/>
  <c r="BJ304" i="3"/>
  <c r="BK304" i="3"/>
  <c r="BB305" i="3"/>
  <c r="BC305" i="3"/>
  <c r="BD305" i="3"/>
  <c r="BE305" i="3"/>
  <c r="BF305" i="3"/>
  <c r="BG305" i="3"/>
  <c r="BH305" i="3"/>
  <c r="BI305" i="3"/>
  <c r="BJ305" i="3"/>
  <c r="BK305" i="3"/>
  <c r="BA305" i="3"/>
  <c r="BB306" i="3"/>
  <c r="BC306" i="3"/>
  <c r="BD306" i="3"/>
  <c r="BE306" i="3"/>
  <c r="BF306" i="3"/>
  <c r="BG306" i="3"/>
  <c r="BH306" i="3"/>
  <c r="BI306" i="3"/>
  <c r="BJ306" i="3"/>
  <c r="BK306" i="3"/>
  <c r="BB307" i="3"/>
  <c r="BC307" i="3"/>
  <c r="BD307" i="3"/>
  <c r="BE307" i="3"/>
  <c r="BF307" i="3"/>
  <c r="BG307" i="3"/>
  <c r="BH307" i="3"/>
  <c r="BI307" i="3"/>
  <c r="BJ307" i="3"/>
  <c r="BK307" i="3"/>
  <c r="BA307" i="3"/>
  <c r="BB308" i="3"/>
  <c r="BC308" i="3"/>
  <c r="BD308" i="3"/>
  <c r="BE308" i="3"/>
  <c r="BF308" i="3"/>
  <c r="BG308" i="3"/>
  <c r="BH308" i="3"/>
  <c r="BI308" i="3"/>
  <c r="BJ308" i="3"/>
  <c r="BK308" i="3"/>
  <c r="BB309" i="3"/>
  <c r="BC309" i="3"/>
  <c r="BD309" i="3"/>
  <c r="BE309" i="3"/>
  <c r="BF309" i="3"/>
  <c r="BG309" i="3"/>
  <c r="BH309" i="3"/>
  <c r="BI309" i="3"/>
  <c r="BJ309" i="3"/>
  <c r="BK309" i="3"/>
  <c r="BA309" i="3"/>
  <c r="BB310" i="3"/>
  <c r="BC310" i="3"/>
  <c r="BD310" i="3"/>
  <c r="BE310" i="3"/>
  <c r="BF310" i="3"/>
  <c r="BG310" i="3"/>
  <c r="BH310" i="3"/>
  <c r="BI310" i="3"/>
  <c r="BJ310" i="3"/>
  <c r="BK310" i="3"/>
  <c r="BB311" i="3"/>
  <c r="BC311" i="3"/>
  <c r="BD311" i="3"/>
  <c r="BE311" i="3"/>
  <c r="BF311" i="3"/>
  <c r="BG311" i="3"/>
  <c r="BH311" i="3"/>
  <c r="BI311" i="3"/>
  <c r="BJ311" i="3"/>
  <c r="BK311" i="3"/>
  <c r="BA311" i="3"/>
  <c r="BB312" i="3"/>
  <c r="BC312" i="3"/>
  <c r="BD312" i="3"/>
  <c r="BE312" i="3"/>
  <c r="BF312" i="3"/>
  <c r="BG312" i="3"/>
  <c r="BH312" i="3"/>
  <c r="BI312" i="3"/>
  <c r="BJ312" i="3"/>
  <c r="BK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S9" i="1"/>
  <c r="E10" i="78"/>
  <c r="C19" i="78"/>
  <c r="F20" i="78"/>
  <c r="B22" i="1"/>
  <c r="F21" i="78"/>
  <c r="C21" i="78"/>
  <c r="B43" i="1"/>
  <c r="B41" i="1"/>
  <c r="C42" i="1"/>
  <c r="F35" i="78"/>
  <c r="E37" i="78"/>
  <c r="F38" i="78"/>
  <c r="C40" i="78"/>
  <c r="M9" i="1"/>
  <c r="L6" i="1"/>
  <c r="K7" i="1"/>
  <c r="M7" i="1"/>
  <c r="K8" i="1"/>
  <c r="M8" i="1"/>
  <c r="A10" i="1"/>
  <c r="K10" i="1"/>
  <c r="M10" i="1"/>
  <c r="A11" i="1"/>
  <c r="K11" i="1"/>
  <c r="M11" i="1"/>
  <c r="A12" i="1"/>
  <c r="K12" i="1"/>
  <c r="M12" i="1"/>
  <c r="A13" i="1"/>
  <c r="K13" i="1"/>
  <c r="M13" i="1"/>
  <c r="B24" i="1"/>
  <c r="L1" i="73"/>
  <c r="F33" i="80"/>
  <c r="BM13" i="3"/>
  <c r="BN13" i="3"/>
  <c r="BO13" i="3"/>
  <c r="BP13" i="3"/>
  <c r="BM14" i="3"/>
  <c r="BN14" i="3"/>
  <c r="BO14" i="3"/>
  <c r="BP14" i="3"/>
  <c r="BM15" i="3"/>
  <c r="BN15" i="3"/>
  <c r="BO15" i="3"/>
  <c r="BP15" i="3"/>
  <c r="BM16" i="3"/>
  <c r="BN16" i="3"/>
  <c r="BO16" i="3"/>
  <c r="BP16" i="3"/>
  <c r="BM17" i="3"/>
  <c r="BN17" i="3"/>
  <c r="BO17" i="3"/>
  <c r="BP17" i="3"/>
  <c r="BM18" i="3"/>
  <c r="BN18" i="3"/>
  <c r="BO18" i="3"/>
  <c r="BP18" i="3"/>
  <c r="BM19" i="3"/>
  <c r="BN19" i="3"/>
  <c r="BO19" i="3"/>
  <c r="BP19" i="3"/>
  <c r="BM20" i="3"/>
  <c r="BN20" i="3"/>
  <c r="BO20" i="3"/>
  <c r="BP20" i="3"/>
  <c r="BM21" i="3"/>
  <c r="BN21" i="3"/>
  <c r="BO21" i="3"/>
  <c r="BP21" i="3"/>
  <c r="BM22" i="3"/>
  <c r="BN22" i="3"/>
  <c r="BO22" i="3"/>
  <c r="BP22" i="3"/>
  <c r="BM23" i="3"/>
  <c r="BN23" i="3"/>
  <c r="BO23" i="3"/>
  <c r="BP23" i="3"/>
  <c r="BM24" i="3"/>
  <c r="BN24" i="3"/>
  <c r="BO24" i="3"/>
  <c r="BP24" i="3"/>
  <c r="BM25" i="3"/>
  <c r="BN25" i="3"/>
  <c r="BO25" i="3"/>
  <c r="BP25" i="3"/>
  <c r="BM26" i="3"/>
  <c r="BN26" i="3"/>
  <c r="BO26" i="3"/>
  <c r="BP26" i="3"/>
  <c r="BM27" i="3"/>
  <c r="BN27" i="3"/>
  <c r="BO27" i="3"/>
  <c r="BP27" i="3"/>
  <c r="BM28" i="3"/>
  <c r="BN28" i="3"/>
  <c r="BO28" i="3"/>
  <c r="BP28" i="3"/>
  <c r="BM29" i="3"/>
  <c r="BN29" i="3"/>
  <c r="BO29" i="3"/>
  <c r="BP29" i="3"/>
  <c r="BM30" i="3"/>
  <c r="BN30" i="3"/>
  <c r="BO30" i="3"/>
  <c r="BP30" i="3"/>
  <c r="BM31" i="3"/>
  <c r="BN31" i="3"/>
  <c r="BO31" i="3"/>
  <c r="BP31" i="3"/>
  <c r="BM32" i="3"/>
  <c r="BN32" i="3"/>
  <c r="BO32" i="3"/>
  <c r="BP32" i="3"/>
  <c r="BM33" i="3"/>
  <c r="BN33" i="3"/>
  <c r="BO33" i="3"/>
  <c r="BP33" i="3"/>
  <c r="BM34" i="3"/>
  <c r="BN34" i="3"/>
  <c r="BO34" i="3"/>
  <c r="BP34" i="3"/>
  <c r="BM35" i="3"/>
  <c r="BN35" i="3"/>
  <c r="BO35" i="3"/>
  <c r="BP35" i="3"/>
  <c r="BM36" i="3"/>
  <c r="BN36" i="3"/>
  <c r="BO36" i="3"/>
  <c r="BP36" i="3"/>
  <c r="BM37" i="3"/>
  <c r="BN37" i="3"/>
  <c r="BO37" i="3"/>
  <c r="BP37" i="3"/>
  <c r="BM38" i="3"/>
  <c r="BN38" i="3"/>
  <c r="BO38" i="3"/>
  <c r="BP38" i="3"/>
  <c r="BM39" i="3"/>
  <c r="BN39" i="3"/>
  <c r="BO39" i="3"/>
  <c r="BP39" i="3"/>
  <c r="BM40" i="3"/>
  <c r="BN40" i="3"/>
  <c r="BO40" i="3"/>
  <c r="BP40" i="3"/>
  <c r="BM41" i="3"/>
  <c r="BN41" i="3"/>
  <c r="BO41" i="3"/>
  <c r="BP41" i="3"/>
  <c r="BM42" i="3"/>
  <c r="BN42" i="3"/>
  <c r="BO42" i="3"/>
  <c r="BP42" i="3"/>
  <c r="BM43" i="3"/>
  <c r="BN43" i="3"/>
  <c r="BO43" i="3"/>
  <c r="BP43" i="3"/>
  <c r="BM44" i="3"/>
  <c r="BN44" i="3"/>
  <c r="BO44" i="3"/>
  <c r="BP44" i="3"/>
  <c r="BM45" i="3"/>
  <c r="BN45" i="3"/>
  <c r="BO45" i="3"/>
  <c r="BP45" i="3"/>
  <c r="BM46" i="3"/>
  <c r="BN46" i="3"/>
  <c r="BO46" i="3"/>
  <c r="BP46" i="3"/>
  <c r="BM47" i="3"/>
  <c r="BN47" i="3"/>
  <c r="BO47" i="3"/>
  <c r="BP47" i="3"/>
  <c r="BM48" i="3"/>
  <c r="BN48" i="3"/>
  <c r="BO48" i="3"/>
  <c r="BP48" i="3"/>
  <c r="BM49" i="3"/>
  <c r="BN49" i="3"/>
  <c r="BO49" i="3"/>
  <c r="BP49" i="3"/>
  <c r="BM50" i="3"/>
  <c r="BN50" i="3"/>
  <c r="BO50" i="3"/>
  <c r="BP50" i="3"/>
  <c r="BM51" i="3"/>
  <c r="BN51" i="3"/>
  <c r="BO51" i="3"/>
  <c r="BP51" i="3"/>
  <c r="BM52" i="3"/>
  <c r="BN52" i="3"/>
  <c r="BO52" i="3"/>
  <c r="BP52" i="3"/>
  <c r="BM53" i="3"/>
  <c r="BN53" i="3"/>
  <c r="BO53" i="3"/>
  <c r="BP53" i="3"/>
  <c r="BM54" i="3"/>
  <c r="BN54" i="3"/>
  <c r="BO54" i="3"/>
  <c r="BP54" i="3"/>
  <c r="BM55" i="3"/>
  <c r="BN55" i="3"/>
  <c r="BO55" i="3"/>
  <c r="BP55" i="3"/>
  <c r="BM56" i="3"/>
  <c r="BN56" i="3"/>
  <c r="BO56" i="3"/>
  <c r="BP56" i="3"/>
  <c r="BM57" i="3"/>
  <c r="BN57" i="3"/>
  <c r="BO57" i="3"/>
  <c r="BP57" i="3"/>
  <c r="BM58" i="3"/>
  <c r="BN58" i="3"/>
  <c r="BO58" i="3"/>
  <c r="BP58" i="3"/>
  <c r="BM59" i="3"/>
  <c r="BN59" i="3"/>
  <c r="BO59" i="3"/>
  <c r="BP59" i="3"/>
  <c r="BM60" i="3"/>
  <c r="BN60" i="3"/>
  <c r="BO60" i="3"/>
  <c r="BP60" i="3"/>
  <c r="BM61" i="3"/>
  <c r="BN61" i="3"/>
  <c r="BO61" i="3"/>
  <c r="BP61" i="3"/>
  <c r="BM62" i="3"/>
  <c r="BN62" i="3"/>
  <c r="BO62" i="3"/>
  <c r="BP62" i="3"/>
  <c r="BM63" i="3"/>
  <c r="BN63" i="3"/>
  <c r="BO63" i="3"/>
  <c r="BP63" i="3"/>
  <c r="BM64" i="3"/>
  <c r="BN64" i="3"/>
  <c r="BO64" i="3"/>
  <c r="BP64" i="3"/>
  <c r="BM65" i="3"/>
  <c r="BN65" i="3"/>
  <c r="BO65" i="3"/>
  <c r="BP65" i="3"/>
  <c r="BM66" i="3"/>
  <c r="BN66" i="3"/>
  <c r="BO66" i="3"/>
  <c r="BP66" i="3"/>
  <c r="BM67" i="3"/>
  <c r="BN67" i="3"/>
  <c r="BO67" i="3"/>
  <c r="BP67" i="3"/>
  <c r="BM68" i="3"/>
  <c r="BN68" i="3"/>
  <c r="BO68" i="3"/>
  <c r="BP68" i="3"/>
  <c r="BM69" i="3"/>
  <c r="BN69" i="3"/>
  <c r="BO69" i="3"/>
  <c r="BP69" i="3"/>
  <c r="BM70" i="3"/>
  <c r="BN70" i="3"/>
  <c r="BO70" i="3"/>
  <c r="BP70" i="3"/>
  <c r="BM71" i="3"/>
  <c r="BN71" i="3"/>
  <c r="BO71" i="3"/>
  <c r="BP71" i="3"/>
  <c r="BM72" i="3"/>
  <c r="BN72" i="3"/>
  <c r="BO72" i="3"/>
  <c r="BP72" i="3"/>
  <c r="BM73" i="3"/>
  <c r="BN73" i="3"/>
  <c r="BO73" i="3"/>
  <c r="BP73" i="3"/>
  <c r="BM74" i="3"/>
  <c r="BN74" i="3"/>
  <c r="BO74" i="3"/>
  <c r="BP74" i="3"/>
  <c r="BM75" i="3"/>
  <c r="BN75" i="3"/>
  <c r="BO75" i="3"/>
  <c r="BP75" i="3"/>
  <c r="BM76" i="3"/>
  <c r="BN76" i="3"/>
  <c r="BO76" i="3"/>
  <c r="BP76" i="3"/>
  <c r="BM77" i="3"/>
  <c r="BN77" i="3"/>
  <c r="BO77" i="3"/>
  <c r="BP77" i="3"/>
  <c r="BM78" i="3"/>
  <c r="BN78" i="3"/>
  <c r="BO78" i="3"/>
  <c r="BP78" i="3"/>
  <c r="BM79" i="3"/>
  <c r="BN79" i="3"/>
  <c r="BO79" i="3"/>
  <c r="BP79" i="3"/>
  <c r="BM80" i="3"/>
  <c r="BN80" i="3"/>
  <c r="BO80" i="3"/>
  <c r="BP80" i="3"/>
  <c r="BM81" i="3"/>
  <c r="BN81" i="3"/>
  <c r="BO81" i="3"/>
  <c r="BP81" i="3"/>
  <c r="BM82" i="3"/>
  <c r="BN82" i="3"/>
  <c r="BO82" i="3"/>
  <c r="BP82" i="3"/>
  <c r="BM83" i="3"/>
  <c r="BN83" i="3"/>
  <c r="BO83" i="3"/>
  <c r="BP83" i="3"/>
  <c r="BM84" i="3"/>
  <c r="BN84" i="3"/>
  <c r="BO84" i="3"/>
  <c r="BP84" i="3"/>
  <c r="BM85" i="3"/>
  <c r="BN85" i="3"/>
  <c r="BO85" i="3"/>
  <c r="BP85" i="3"/>
  <c r="BM86" i="3"/>
  <c r="BN86" i="3"/>
  <c r="BO86" i="3"/>
  <c r="BP86" i="3"/>
  <c r="BM87" i="3"/>
  <c r="BN87" i="3"/>
  <c r="BO87" i="3"/>
  <c r="BP87" i="3"/>
  <c r="BM88" i="3"/>
  <c r="BN88" i="3"/>
  <c r="BO88" i="3"/>
  <c r="BP88" i="3"/>
  <c r="BM89" i="3"/>
  <c r="BN89" i="3"/>
  <c r="BO89" i="3"/>
  <c r="BP89" i="3"/>
  <c r="BM90" i="3"/>
  <c r="BN90" i="3"/>
  <c r="BO90" i="3"/>
  <c r="BP90" i="3"/>
  <c r="BM91" i="3"/>
  <c r="BN91" i="3"/>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BM159" i="3"/>
  <c r="BN159" i="3"/>
  <c r="BO159" i="3"/>
  <c r="BP159" i="3"/>
  <c r="BL159" i="3"/>
  <c r="AZ159" i="3"/>
  <c r="BM160" i="3"/>
  <c r="BN160" i="3"/>
  <c r="BO160" i="3"/>
  <c r="BP160" i="3"/>
  <c r="BL160" i="3"/>
  <c r="BM161" i="3"/>
  <c r="BN161" i="3"/>
  <c r="BO161" i="3"/>
  <c r="BP161" i="3"/>
  <c r="BL161" i="3"/>
  <c r="AZ161" i="3"/>
  <c r="BM162" i="3"/>
  <c r="BN162" i="3"/>
  <c r="BO162" i="3"/>
  <c r="BP162" i="3"/>
  <c r="BL162" i="3"/>
  <c r="BM163" i="3"/>
  <c r="BN163" i="3"/>
  <c r="BO163" i="3"/>
  <c r="BP163" i="3"/>
  <c r="BL163" i="3"/>
  <c r="AZ163" i="3"/>
  <c r="BM164" i="3"/>
  <c r="BN164" i="3"/>
  <c r="BO164" i="3"/>
  <c r="BP164" i="3"/>
  <c r="BL164" i="3"/>
  <c r="BM165" i="3"/>
  <c r="BN165" i="3"/>
  <c r="BO165" i="3"/>
  <c r="BP165" i="3"/>
  <c r="BL165" i="3"/>
  <c r="AZ165" i="3"/>
  <c r="BM166" i="3"/>
  <c r="BN166" i="3"/>
  <c r="BO166" i="3"/>
  <c r="BP166" i="3"/>
  <c r="BL166" i="3"/>
  <c r="BM167" i="3"/>
  <c r="BN167" i="3"/>
  <c r="BO167" i="3"/>
  <c r="BP167" i="3"/>
  <c r="BL167" i="3"/>
  <c r="AZ167" i="3"/>
  <c r="BM168" i="3"/>
  <c r="BN168" i="3"/>
  <c r="BO168" i="3"/>
  <c r="BP168" i="3"/>
  <c r="BL168" i="3"/>
  <c r="BM169" i="3"/>
  <c r="BN169" i="3"/>
  <c r="BO169" i="3"/>
  <c r="BP169" i="3"/>
  <c r="BL169" i="3"/>
  <c r="AZ169" i="3"/>
  <c r="BM170" i="3"/>
  <c r="BN170" i="3"/>
  <c r="BO170" i="3"/>
  <c r="BP170" i="3"/>
  <c r="BL170" i="3"/>
  <c r="BM171" i="3"/>
  <c r="BN171" i="3"/>
  <c r="BO171" i="3"/>
  <c r="BP171" i="3"/>
  <c r="BL171" i="3"/>
  <c r="AZ171" i="3"/>
  <c r="BM172" i="3"/>
  <c r="BN172" i="3"/>
  <c r="BO172" i="3"/>
  <c r="BP172" i="3"/>
  <c r="BL172" i="3"/>
  <c r="BM173" i="3"/>
  <c r="BN173" i="3"/>
  <c r="BO173" i="3"/>
  <c r="BP173" i="3"/>
  <c r="BL173" i="3"/>
  <c r="AZ173" i="3"/>
  <c r="BM174" i="3"/>
  <c r="BN174" i="3"/>
  <c r="BO174" i="3"/>
  <c r="BP174" i="3"/>
  <c r="BL174" i="3"/>
  <c r="BM175" i="3"/>
  <c r="BN175" i="3"/>
  <c r="BO175" i="3"/>
  <c r="BP175" i="3"/>
  <c r="BL175" i="3"/>
  <c r="AZ175" i="3"/>
  <c r="BM176" i="3"/>
  <c r="BN176" i="3"/>
  <c r="BO176" i="3"/>
  <c r="BP176" i="3"/>
  <c r="BL176" i="3"/>
  <c r="BM177" i="3"/>
  <c r="BN177" i="3"/>
  <c r="BO177" i="3"/>
  <c r="BP177" i="3"/>
  <c r="BL177" i="3"/>
  <c r="AZ177" i="3"/>
  <c r="BM178" i="3"/>
  <c r="BN178" i="3"/>
  <c r="BO178" i="3"/>
  <c r="BP178" i="3"/>
  <c r="BL178" i="3"/>
  <c r="BM179" i="3"/>
  <c r="BN179" i="3"/>
  <c r="BO179" i="3"/>
  <c r="BP179" i="3"/>
  <c r="BL179" i="3"/>
  <c r="AZ179" i="3"/>
  <c r="BM180" i="3"/>
  <c r="BN180" i="3"/>
  <c r="BO180" i="3"/>
  <c r="BP180" i="3"/>
  <c r="BL180" i="3"/>
  <c r="BM181" i="3"/>
  <c r="BN181" i="3"/>
  <c r="BO181" i="3"/>
  <c r="BP181" i="3"/>
  <c r="BL181" i="3"/>
  <c r="AZ181" i="3"/>
  <c r="BM182" i="3"/>
  <c r="BN182" i="3"/>
  <c r="BO182" i="3"/>
  <c r="BP182" i="3"/>
  <c r="BL182" i="3"/>
  <c r="BM183" i="3"/>
  <c r="BN183" i="3"/>
  <c r="BO183" i="3"/>
  <c r="BP183" i="3"/>
  <c r="BL183" i="3"/>
  <c r="AZ183" i="3"/>
  <c r="BM184" i="3"/>
  <c r="BN184" i="3"/>
  <c r="BO184" i="3"/>
  <c r="BP184" i="3"/>
  <c r="BL184" i="3"/>
  <c r="BM185" i="3"/>
  <c r="BN185" i="3"/>
  <c r="BO185" i="3"/>
  <c r="BP185" i="3"/>
  <c r="BL185" i="3"/>
  <c r="AZ185" i="3"/>
  <c r="BM186" i="3"/>
  <c r="BN186" i="3"/>
  <c r="BO186" i="3"/>
  <c r="BP186" i="3"/>
  <c r="BL186" i="3"/>
  <c r="BM187" i="3"/>
  <c r="BN187" i="3"/>
  <c r="BO187" i="3"/>
  <c r="BP187" i="3"/>
  <c r="BL187" i="3"/>
  <c r="AZ187" i="3"/>
  <c r="BM188" i="3"/>
  <c r="BN188" i="3"/>
  <c r="BO188" i="3"/>
  <c r="BP188" i="3"/>
  <c r="BL188" i="3"/>
  <c r="BM189" i="3"/>
  <c r="BN189" i="3"/>
  <c r="BO189" i="3"/>
  <c r="BP189" i="3"/>
  <c r="BL189" i="3"/>
  <c r="AZ189" i="3"/>
  <c r="BM190" i="3"/>
  <c r="BN190" i="3"/>
  <c r="BO190" i="3"/>
  <c r="BP190" i="3"/>
  <c r="BL190" i="3"/>
  <c r="BM191" i="3"/>
  <c r="BN191" i="3"/>
  <c r="BO191" i="3"/>
  <c r="BP191" i="3"/>
  <c r="BL191" i="3"/>
  <c r="AZ191" i="3"/>
  <c r="BM192" i="3"/>
  <c r="BN192" i="3"/>
  <c r="BO192" i="3"/>
  <c r="BP192" i="3"/>
  <c r="BL192" i="3"/>
  <c r="BM193" i="3"/>
  <c r="BN193" i="3"/>
  <c r="BO193" i="3"/>
  <c r="BP193" i="3"/>
  <c r="BL193" i="3"/>
  <c r="AZ193" i="3"/>
  <c r="BM194" i="3"/>
  <c r="BN194" i="3"/>
  <c r="BO194" i="3"/>
  <c r="BP194" i="3"/>
  <c r="BL194" i="3"/>
  <c r="BM195" i="3"/>
  <c r="BN195" i="3"/>
  <c r="BO195" i="3"/>
  <c r="BP195" i="3"/>
  <c r="BL195" i="3"/>
  <c r="AZ195" i="3"/>
  <c r="BM196" i="3"/>
  <c r="BN196" i="3"/>
  <c r="BO196" i="3"/>
  <c r="BP196" i="3"/>
  <c r="BL196" i="3"/>
  <c r="BM197" i="3"/>
  <c r="BN197" i="3"/>
  <c r="BO197" i="3"/>
  <c r="BP197" i="3"/>
  <c r="BL197" i="3"/>
  <c r="AZ197" i="3"/>
  <c r="BM198" i="3"/>
  <c r="BN198" i="3"/>
  <c r="BO198" i="3"/>
  <c r="BP198" i="3"/>
  <c r="BL198" i="3"/>
  <c r="BM199" i="3"/>
  <c r="BN199" i="3"/>
  <c r="BO199" i="3"/>
  <c r="BP199" i="3"/>
  <c r="BL199" i="3"/>
  <c r="AZ199" i="3"/>
  <c r="BM200" i="3"/>
  <c r="BN200" i="3"/>
  <c r="BO200" i="3"/>
  <c r="BP200" i="3"/>
  <c r="BL200" i="3"/>
  <c r="BM201" i="3"/>
  <c r="BN201" i="3"/>
  <c r="BO201" i="3"/>
  <c r="BP201" i="3"/>
  <c r="BL201" i="3"/>
  <c r="AZ201" i="3"/>
  <c r="BM202" i="3"/>
  <c r="BN202" i="3"/>
  <c r="BO202" i="3"/>
  <c r="BP202" i="3"/>
  <c r="BL202" i="3"/>
  <c r="BM203" i="3"/>
  <c r="BN203" i="3"/>
  <c r="BO203" i="3"/>
  <c r="BP203" i="3"/>
  <c r="BL203" i="3"/>
  <c r="AZ203" i="3"/>
  <c r="BM204" i="3"/>
  <c r="BN204" i="3"/>
  <c r="BO204" i="3"/>
  <c r="BP204" i="3"/>
  <c r="BL204" i="3"/>
  <c r="BM205" i="3"/>
  <c r="BN205" i="3"/>
  <c r="BO205" i="3"/>
  <c r="BP205" i="3"/>
  <c r="BL205" i="3"/>
  <c r="AZ205" i="3"/>
  <c r="BM206" i="3"/>
  <c r="BN206" i="3"/>
  <c r="BO206" i="3"/>
  <c r="BP206" i="3"/>
  <c r="BL206" i="3"/>
  <c r="BM207" i="3"/>
  <c r="BN207" i="3"/>
  <c r="BO207" i="3"/>
  <c r="BP207" i="3"/>
  <c r="BL207" i="3"/>
  <c r="AZ207" i="3"/>
  <c r="BM208" i="3"/>
  <c r="BN208" i="3"/>
  <c r="BO208" i="3"/>
  <c r="BP208" i="3"/>
  <c r="BL208" i="3"/>
  <c r="BM209" i="3"/>
  <c r="BN209" i="3"/>
  <c r="BO209" i="3"/>
  <c r="BP209" i="3"/>
  <c r="BL209" i="3"/>
  <c r="AZ209" i="3"/>
  <c r="BM210" i="3"/>
  <c r="BN210" i="3"/>
  <c r="BO210" i="3"/>
  <c r="BP210" i="3"/>
  <c r="BL210" i="3"/>
  <c r="BM211" i="3"/>
  <c r="BN211" i="3"/>
  <c r="BO211" i="3"/>
  <c r="BP211" i="3"/>
  <c r="BL211" i="3"/>
  <c r="AZ211" i="3"/>
  <c r="BM212" i="3"/>
  <c r="BN212" i="3"/>
  <c r="BO212" i="3"/>
  <c r="BP212" i="3"/>
  <c r="BL212" i="3"/>
  <c r="BM213" i="3"/>
  <c r="BN213" i="3"/>
  <c r="BO213" i="3"/>
  <c r="BP213" i="3"/>
  <c r="BL213" i="3"/>
  <c r="AZ213" i="3"/>
  <c r="BM214" i="3"/>
  <c r="BN214" i="3"/>
  <c r="BO214" i="3"/>
  <c r="BP214" i="3"/>
  <c r="BL214" i="3"/>
  <c r="BM215" i="3"/>
  <c r="BN215" i="3"/>
  <c r="BO215" i="3"/>
  <c r="BP215" i="3"/>
  <c r="BL215" i="3"/>
  <c r="AZ215" i="3"/>
  <c r="BM216" i="3"/>
  <c r="BN216" i="3"/>
  <c r="BO216" i="3"/>
  <c r="BP216" i="3"/>
  <c r="BL216" i="3"/>
  <c r="BM217" i="3"/>
  <c r="BN217" i="3"/>
  <c r="BO217" i="3"/>
  <c r="BP217" i="3"/>
  <c r="BL217" i="3"/>
  <c r="AZ217" i="3"/>
  <c r="BM218" i="3"/>
  <c r="BN218" i="3"/>
  <c r="BO218" i="3"/>
  <c r="BP218" i="3"/>
  <c r="BL218" i="3"/>
  <c r="BM219" i="3"/>
  <c r="BN219" i="3"/>
  <c r="BO219" i="3"/>
  <c r="BP219" i="3"/>
  <c r="BL219" i="3"/>
  <c r="AZ219" i="3"/>
  <c r="BM220" i="3"/>
  <c r="BN220" i="3"/>
  <c r="BO220" i="3"/>
  <c r="BP220" i="3"/>
  <c r="BL220" i="3"/>
  <c r="BM221" i="3"/>
  <c r="BN221" i="3"/>
  <c r="BO221" i="3"/>
  <c r="BP221" i="3"/>
  <c r="BL221" i="3"/>
  <c r="AZ221" i="3"/>
  <c r="BM222" i="3"/>
  <c r="BN222" i="3"/>
  <c r="BO222" i="3"/>
  <c r="BP222" i="3"/>
  <c r="BL222" i="3"/>
  <c r="BM223" i="3"/>
  <c r="BN223" i="3"/>
  <c r="BO223" i="3"/>
  <c r="BP223" i="3"/>
  <c r="BL223" i="3"/>
  <c r="AZ223" i="3"/>
  <c r="BM224" i="3"/>
  <c r="BN224" i="3"/>
  <c r="BO224" i="3"/>
  <c r="BP224" i="3"/>
  <c r="BL224" i="3"/>
  <c r="BM225" i="3"/>
  <c r="BN225" i="3"/>
  <c r="BO225" i="3"/>
  <c r="BP225" i="3"/>
  <c r="BL225" i="3"/>
  <c r="AZ225" i="3"/>
  <c r="BM226" i="3"/>
  <c r="BN226" i="3"/>
  <c r="BO226" i="3"/>
  <c r="BP226" i="3"/>
  <c r="BL226" i="3"/>
  <c r="BM227" i="3"/>
  <c r="BN227" i="3"/>
  <c r="BO227" i="3"/>
  <c r="BP227" i="3"/>
  <c r="BL227" i="3"/>
  <c r="AZ227" i="3"/>
  <c r="BM228" i="3"/>
  <c r="BN228" i="3"/>
  <c r="BO228" i="3"/>
  <c r="BP228" i="3"/>
  <c r="BL228" i="3"/>
  <c r="BM229" i="3"/>
  <c r="BN229" i="3"/>
  <c r="BO229" i="3"/>
  <c r="BP229" i="3"/>
  <c r="BL229" i="3"/>
  <c r="AZ229" i="3"/>
  <c r="BM230" i="3"/>
  <c r="BN230" i="3"/>
  <c r="BO230" i="3"/>
  <c r="BP230" i="3"/>
  <c r="BL230" i="3"/>
  <c r="BM231" i="3"/>
  <c r="BN231" i="3"/>
  <c r="BO231" i="3"/>
  <c r="BP231" i="3"/>
  <c r="BL231" i="3"/>
  <c r="AZ231" i="3"/>
  <c r="BM232" i="3"/>
  <c r="BN232" i="3"/>
  <c r="BO232" i="3"/>
  <c r="BP232" i="3"/>
  <c r="BL232" i="3"/>
  <c r="BM233" i="3"/>
  <c r="BN233" i="3"/>
  <c r="BO233" i="3"/>
  <c r="BP233" i="3"/>
  <c r="BL233" i="3"/>
  <c r="AZ233" i="3"/>
  <c r="BM234" i="3"/>
  <c r="BN234" i="3"/>
  <c r="BO234" i="3"/>
  <c r="BP234" i="3"/>
  <c r="BL234" i="3"/>
  <c r="BM235" i="3"/>
  <c r="BN235" i="3"/>
  <c r="BO235" i="3"/>
  <c r="BP235" i="3"/>
  <c r="BL235" i="3"/>
  <c r="AZ235" i="3"/>
  <c r="BM236" i="3"/>
  <c r="BN236" i="3"/>
  <c r="BO236" i="3"/>
  <c r="BP236" i="3"/>
  <c r="BL236" i="3"/>
  <c r="BM237" i="3"/>
  <c r="BN237" i="3"/>
  <c r="BO237" i="3"/>
  <c r="BP237" i="3"/>
  <c r="BL237" i="3"/>
  <c r="AZ237" i="3"/>
  <c r="BM238" i="3"/>
  <c r="BN238" i="3"/>
  <c r="BO238" i="3"/>
  <c r="BP238" i="3"/>
  <c r="BL238" i="3"/>
  <c r="BM239" i="3"/>
  <c r="BN239" i="3"/>
  <c r="BO239" i="3"/>
  <c r="BP239" i="3"/>
  <c r="BL239" i="3"/>
  <c r="AZ239" i="3"/>
  <c r="BM240" i="3"/>
  <c r="BN240" i="3"/>
  <c r="BO240" i="3"/>
  <c r="BP240" i="3"/>
  <c r="BL240" i="3"/>
  <c r="BM241" i="3"/>
  <c r="BN241" i="3"/>
  <c r="BO241" i="3"/>
  <c r="BP241" i="3"/>
  <c r="BL241" i="3"/>
  <c r="AZ241" i="3"/>
  <c r="BM242" i="3"/>
  <c r="BN242" i="3"/>
  <c r="BO242" i="3"/>
  <c r="BP242" i="3"/>
  <c r="BL242" i="3"/>
  <c r="BM243" i="3"/>
  <c r="BN243" i="3"/>
  <c r="BO243" i="3"/>
  <c r="BP243" i="3"/>
  <c r="BL243" i="3"/>
  <c r="AZ243" i="3"/>
  <c r="BM244" i="3"/>
  <c r="BN244" i="3"/>
  <c r="BO244" i="3"/>
  <c r="BP244" i="3"/>
  <c r="BL244" i="3"/>
  <c r="BM245" i="3"/>
  <c r="BN245" i="3"/>
  <c r="BO245" i="3"/>
  <c r="BP245" i="3"/>
  <c r="BL245" i="3"/>
  <c r="AZ245" i="3"/>
  <c r="BM246" i="3"/>
  <c r="BN246" i="3"/>
  <c r="BO246" i="3"/>
  <c r="BP246" i="3"/>
  <c r="BL246" i="3"/>
  <c r="BM247" i="3"/>
  <c r="BN247" i="3"/>
  <c r="BO247" i="3"/>
  <c r="BP247" i="3"/>
  <c r="BL247" i="3"/>
  <c r="AZ247" i="3"/>
  <c r="BM248" i="3"/>
  <c r="BN248" i="3"/>
  <c r="BO248" i="3"/>
  <c r="BP248" i="3"/>
  <c r="BL248" i="3"/>
  <c r="BM249" i="3"/>
  <c r="BN249" i="3"/>
  <c r="BO249" i="3"/>
  <c r="BP249" i="3"/>
  <c r="BL249" i="3"/>
  <c r="AZ249" i="3"/>
  <c r="BM250" i="3"/>
  <c r="BN250" i="3"/>
  <c r="BO250" i="3"/>
  <c r="BP250" i="3"/>
  <c r="BL250" i="3"/>
  <c r="BM251" i="3"/>
  <c r="BN251" i="3"/>
  <c r="BO251" i="3"/>
  <c r="BP251" i="3"/>
  <c r="BL251" i="3"/>
  <c r="AZ251" i="3"/>
  <c r="BM252" i="3"/>
  <c r="BN252" i="3"/>
  <c r="BO252" i="3"/>
  <c r="BP252" i="3"/>
  <c r="BL252" i="3"/>
  <c r="BM253" i="3"/>
  <c r="BN253" i="3"/>
  <c r="BO253" i="3"/>
  <c r="BP253" i="3"/>
  <c r="BL253" i="3"/>
  <c r="AZ253" i="3"/>
  <c r="BM254" i="3"/>
  <c r="BN254" i="3"/>
  <c r="BO254" i="3"/>
  <c r="BP254" i="3"/>
  <c r="BL254" i="3"/>
  <c r="BM255" i="3"/>
  <c r="BN255" i="3"/>
  <c r="BO255" i="3"/>
  <c r="BP255" i="3"/>
  <c r="BL255" i="3"/>
  <c r="AZ255" i="3"/>
  <c r="BM256" i="3"/>
  <c r="BN256" i="3"/>
  <c r="BO256" i="3"/>
  <c r="BP256" i="3"/>
  <c r="BL256" i="3"/>
  <c r="BM257" i="3"/>
  <c r="BN257" i="3"/>
  <c r="BO257" i="3"/>
  <c r="BP257" i="3"/>
  <c r="BL257" i="3"/>
  <c r="AZ257" i="3"/>
  <c r="BM258" i="3"/>
  <c r="BN258" i="3"/>
  <c r="BO258" i="3"/>
  <c r="BP258" i="3"/>
  <c r="BL258" i="3"/>
  <c r="BM259" i="3"/>
  <c r="BN259" i="3"/>
  <c r="BO259" i="3"/>
  <c r="BP259" i="3"/>
  <c r="BL259" i="3"/>
  <c r="AZ259" i="3"/>
  <c r="BM260" i="3"/>
  <c r="BN260" i="3"/>
  <c r="BO260" i="3"/>
  <c r="BP260" i="3"/>
  <c r="BL260" i="3"/>
  <c r="BM261" i="3"/>
  <c r="BN261" i="3"/>
  <c r="BO261" i="3"/>
  <c r="BP261" i="3"/>
  <c r="BL261" i="3"/>
  <c r="AZ261" i="3"/>
  <c r="BM262" i="3"/>
  <c r="BN262" i="3"/>
  <c r="BO262" i="3"/>
  <c r="BP262" i="3"/>
  <c r="BL262" i="3"/>
  <c r="BM263" i="3"/>
  <c r="BN263" i="3"/>
  <c r="BO263" i="3"/>
  <c r="BP263" i="3"/>
  <c r="BL263" i="3"/>
  <c r="AZ263" i="3"/>
  <c r="BM264" i="3"/>
  <c r="BN264" i="3"/>
  <c r="BO264" i="3"/>
  <c r="BP264" i="3"/>
  <c r="BL264" i="3"/>
  <c r="BM265" i="3"/>
  <c r="BN265" i="3"/>
  <c r="BO265" i="3"/>
  <c r="BP265" i="3"/>
  <c r="BM266" i="3"/>
  <c r="BN266" i="3"/>
  <c r="BO266" i="3"/>
  <c r="BP266" i="3"/>
  <c r="BM267" i="3"/>
  <c r="BN267" i="3"/>
  <c r="BO267" i="3"/>
  <c r="BP267" i="3"/>
  <c r="BM268" i="3"/>
  <c r="BN268" i="3"/>
  <c r="BO268" i="3"/>
  <c r="BP268" i="3"/>
  <c r="BM269" i="3"/>
  <c r="BN269" i="3"/>
  <c r="BO269" i="3"/>
  <c r="BP269" i="3"/>
  <c r="BM270" i="3"/>
  <c r="BN270" i="3"/>
  <c r="BO270" i="3"/>
  <c r="BP270" i="3"/>
  <c r="BM271" i="3"/>
  <c r="BN271" i="3"/>
  <c r="BO271" i="3"/>
  <c r="BP271" i="3"/>
  <c r="BM272" i="3"/>
  <c r="BN272" i="3"/>
  <c r="BO272" i="3"/>
  <c r="BP272" i="3"/>
  <c r="BM273" i="3"/>
  <c r="BN273" i="3"/>
  <c r="BO273" i="3"/>
  <c r="BP273" i="3"/>
  <c r="BM274" i="3"/>
  <c r="BN274" i="3"/>
  <c r="BO274" i="3"/>
  <c r="BP274" i="3"/>
  <c r="BM275" i="3"/>
  <c r="BN275" i="3"/>
  <c r="BO275" i="3"/>
  <c r="BP275" i="3"/>
  <c r="BM276" i="3"/>
  <c r="BN276" i="3"/>
  <c r="BO276" i="3"/>
  <c r="BP276" i="3"/>
  <c r="BM277" i="3"/>
  <c r="BN277" i="3"/>
  <c r="BO277" i="3"/>
  <c r="BP277" i="3"/>
  <c r="BM278" i="3"/>
  <c r="BN278" i="3"/>
  <c r="BO278" i="3"/>
  <c r="BP278" i="3"/>
  <c r="BM279" i="3"/>
  <c r="BN279" i="3"/>
  <c r="BO279" i="3"/>
  <c r="BP279" i="3"/>
  <c r="BM280" i="3"/>
  <c r="BN280" i="3"/>
  <c r="BO280" i="3"/>
  <c r="BP280" i="3"/>
  <c r="BM281" i="3"/>
  <c r="BN281" i="3"/>
  <c r="BO281" i="3"/>
  <c r="BP281" i="3"/>
  <c r="BM282" i="3"/>
  <c r="BN282" i="3"/>
  <c r="BO282" i="3"/>
  <c r="BP282" i="3"/>
  <c r="BM283" i="3"/>
  <c r="BN283" i="3"/>
  <c r="BO283" i="3"/>
  <c r="BP283" i="3"/>
  <c r="BM284" i="3"/>
  <c r="BN284" i="3"/>
  <c r="BO284" i="3"/>
  <c r="BP284" i="3"/>
  <c r="BM285" i="3"/>
  <c r="BN285" i="3"/>
  <c r="BO285" i="3"/>
  <c r="BP285" i="3"/>
  <c r="BM286" i="3"/>
  <c r="BN286" i="3"/>
  <c r="BO286" i="3"/>
  <c r="BP286" i="3"/>
  <c r="BM287" i="3"/>
  <c r="BN287" i="3"/>
  <c r="BO287" i="3"/>
  <c r="BP287" i="3"/>
  <c r="BM288" i="3"/>
  <c r="BN288" i="3"/>
  <c r="BO288" i="3"/>
  <c r="BP288" i="3"/>
  <c r="BM289" i="3"/>
  <c r="BN289" i="3"/>
  <c r="BO289" i="3"/>
  <c r="BP289" i="3"/>
  <c r="BM290" i="3"/>
  <c r="BN290" i="3"/>
  <c r="BO290" i="3"/>
  <c r="BP290" i="3"/>
  <c r="BM291" i="3"/>
  <c r="BN291" i="3"/>
  <c r="BO291" i="3"/>
  <c r="BP291" i="3"/>
  <c r="BM292" i="3"/>
  <c r="BN292" i="3"/>
  <c r="BO292" i="3"/>
  <c r="BP292" i="3"/>
  <c r="BM293" i="3"/>
  <c r="BN293" i="3"/>
  <c r="BO293" i="3"/>
  <c r="BP293" i="3"/>
  <c r="BM294" i="3"/>
  <c r="BN294" i="3"/>
  <c r="BO294" i="3"/>
  <c r="BP294" i="3"/>
  <c r="BM295" i="3"/>
  <c r="BN295" i="3"/>
  <c r="BO295" i="3"/>
  <c r="BP295" i="3"/>
  <c r="BM296" i="3"/>
  <c r="BN296" i="3"/>
  <c r="BO296" i="3"/>
  <c r="BP296" i="3"/>
  <c r="BM297" i="3"/>
  <c r="BN297" i="3"/>
  <c r="BO297" i="3"/>
  <c r="BP297" i="3"/>
  <c r="BM298" i="3"/>
  <c r="BN298" i="3"/>
  <c r="BO298" i="3"/>
  <c r="BP298" i="3"/>
  <c r="BM299" i="3"/>
  <c r="BN299" i="3"/>
  <c r="BO299" i="3"/>
  <c r="BP299" i="3"/>
  <c r="BM300" i="3"/>
  <c r="BN300" i="3"/>
  <c r="BO300" i="3"/>
  <c r="BP300" i="3"/>
  <c r="BM301" i="3"/>
  <c r="BN301" i="3"/>
  <c r="BO301" i="3"/>
  <c r="BP301" i="3"/>
  <c r="BM302" i="3"/>
  <c r="BN302" i="3"/>
  <c r="BO302" i="3"/>
  <c r="BP302" i="3"/>
  <c r="BM303" i="3"/>
  <c r="BN303" i="3"/>
  <c r="BO303" i="3"/>
  <c r="BP303" i="3"/>
  <c r="BM304" i="3"/>
  <c r="BN304" i="3"/>
  <c r="BO304" i="3"/>
  <c r="BP304" i="3"/>
  <c r="BM305" i="3"/>
  <c r="BN305" i="3"/>
  <c r="BO305" i="3"/>
  <c r="BP305" i="3"/>
  <c r="BM306" i="3"/>
  <c r="BN306" i="3"/>
  <c r="BO306" i="3"/>
  <c r="BP306" i="3"/>
  <c r="BM307" i="3"/>
  <c r="BN307" i="3"/>
  <c r="BO307" i="3"/>
  <c r="BP307" i="3"/>
  <c r="BM308" i="3"/>
  <c r="BN308" i="3"/>
  <c r="BO308" i="3"/>
  <c r="BP308" i="3"/>
  <c r="BM309" i="3"/>
  <c r="BN309" i="3"/>
  <c r="BO309" i="3"/>
  <c r="BP309" i="3"/>
  <c r="BM310" i="3"/>
  <c r="BN310" i="3"/>
  <c r="BO310" i="3"/>
  <c r="BP310" i="3"/>
  <c r="BM311" i="3"/>
  <c r="BN311" i="3"/>
  <c r="BO311" i="3"/>
  <c r="BP311" i="3"/>
  <c r="BM312" i="3"/>
  <c r="BN312" i="3"/>
  <c r="BO312" i="3"/>
  <c r="BP312" i="3"/>
  <c r="BM313" i="3"/>
  <c r="BN313" i="3"/>
  <c r="BO313" i="3"/>
  <c r="BP313" i="3"/>
  <c r="BM314" i="3"/>
  <c r="BN314" i="3"/>
  <c r="BO314" i="3"/>
  <c r="BP314" i="3"/>
  <c r="BM315" i="3"/>
  <c r="BN315" i="3"/>
  <c r="BO315" i="3"/>
  <c r="BP315" i="3"/>
  <c r="BM316" i="3"/>
  <c r="BN316" i="3"/>
  <c r="BO316" i="3"/>
  <c r="BP316" i="3"/>
  <c r="BM317" i="3"/>
  <c r="BN317" i="3"/>
  <c r="BO317" i="3"/>
  <c r="BP317" i="3"/>
  <c r="BM318" i="3"/>
  <c r="BN318" i="3"/>
  <c r="BO318" i="3"/>
  <c r="BP318" i="3"/>
  <c r="BM319" i="3"/>
  <c r="BN319" i="3"/>
  <c r="BO319" i="3"/>
  <c r="BP319" i="3"/>
  <c r="BM320" i="3"/>
  <c r="BN320" i="3"/>
  <c r="BO320" i="3"/>
  <c r="BP320" i="3"/>
  <c r="BM321" i="3"/>
  <c r="BN321" i="3"/>
  <c r="BO321" i="3"/>
  <c r="BP321" i="3"/>
  <c r="BM322" i="3"/>
  <c r="BN322" i="3"/>
  <c r="BO322" i="3"/>
  <c r="BP322" i="3"/>
  <c r="BM323" i="3"/>
  <c r="BN323" i="3"/>
  <c r="BO323" i="3"/>
  <c r="BP323" i="3"/>
  <c r="BM324" i="3"/>
  <c r="BN324" i="3"/>
  <c r="BO324" i="3"/>
  <c r="BP324" i="3"/>
  <c r="BM325" i="3"/>
  <c r="BN325" i="3"/>
  <c r="BO325" i="3"/>
  <c r="BP325" i="3"/>
  <c r="BM326" i="3"/>
  <c r="BN326" i="3"/>
  <c r="BO326" i="3"/>
  <c r="BP326" i="3"/>
  <c r="BM327" i="3"/>
  <c r="BN327" i="3"/>
  <c r="BO327" i="3"/>
  <c r="BP327" i="3"/>
  <c r="BM328" i="3"/>
  <c r="BN328" i="3"/>
  <c r="BO328" i="3"/>
  <c r="BP328" i="3"/>
  <c r="BM329" i="3"/>
  <c r="BN329" i="3"/>
  <c r="BO329" i="3"/>
  <c r="BP329" i="3"/>
  <c r="BM330" i="3"/>
  <c r="BN330" i="3"/>
  <c r="BO330" i="3"/>
  <c r="BP330" i="3"/>
  <c r="BM331" i="3"/>
  <c r="BN331" i="3"/>
  <c r="BO331" i="3"/>
  <c r="BP331" i="3"/>
  <c r="BM332" i="3"/>
  <c r="BN332" i="3"/>
  <c r="BO332" i="3"/>
  <c r="BP332" i="3"/>
  <c r="BM333" i="3"/>
  <c r="BN333" i="3"/>
  <c r="BO333" i="3"/>
  <c r="BP333" i="3"/>
  <c r="BM334" i="3"/>
  <c r="BN334" i="3"/>
  <c r="BO334" i="3"/>
  <c r="BP334" i="3"/>
  <c r="BM335" i="3"/>
  <c r="BN335" i="3"/>
  <c r="BO335" i="3"/>
  <c r="BP335" i="3"/>
  <c r="BM336" i="3"/>
  <c r="BN336" i="3"/>
  <c r="BO336" i="3"/>
  <c r="BP336" i="3"/>
  <c r="BM337" i="3"/>
  <c r="BN337" i="3"/>
  <c r="BO337" i="3"/>
  <c r="BP337" i="3"/>
  <c r="BM338" i="3"/>
  <c r="BN338" i="3"/>
  <c r="BO338" i="3"/>
  <c r="BP338" i="3"/>
  <c r="BM339" i="3"/>
  <c r="BN339" i="3"/>
  <c r="BO339" i="3"/>
  <c r="BP339" i="3"/>
  <c r="BM340" i="3"/>
  <c r="BN340" i="3"/>
  <c r="BO340" i="3"/>
  <c r="BP340" i="3"/>
  <c r="BM341" i="3"/>
  <c r="BN341" i="3"/>
  <c r="BO341" i="3"/>
  <c r="BP341" i="3"/>
  <c r="BM342" i="3"/>
  <c r="BN342" i="3"/>
  <c r="BO342" i="3"/>
  <c r="BP342" i="3"/>
  <c r="BM343" i="3"/>
  <c r="BN343" i="3"/>
  <c r="BO343" i="3"/>
  <c r="BP343" i="3"/>
  <c r="BM344" i="3"/>
  <c r="BN344" i="3"/>
  <c r="BO344" i="3"/>
  <c r="BP344" i="3"/>
  <c r="BM345" i="3"/>
  <c r="BN345" i="3"/>
  <c r="BO345" i="3"/>
  <c r="BP345" i="3"/>
  <c r="BM346" i="3"/>
  <c r="BN346" i="3"/>
  <c r="BO346" i="3"/>
  <c r="BP346" i="3"/>
  <c r="BM347" i="3"/>
  <c r="BN347" i="3"/>
  <c r="BO347" i="3"/>
  <c r="BP347" i="3"/>
  <c r="BM348" i="3"/>
  <c r="BN348" i="3"/>
  <c r="BO348" i="3"/>
  <c r="BP348" i="3"/>
  <c r="BM349" i="3"/>
  <c r="BN349" i="3"/>
  <c r="BO349" i="3"/>
  <c r="BP349" i="3"/>
  <c r="BM350" i="3"/>
  <c r="BN350" i="3"/>
  <c r="BO350" i="3"/>
  <c r="BP350" i="3"/>
  <c r="BM351" i="3"/>
  <c r="BN351" i="3"/>
  <c r="BO351" i="3"/>
  <c r="BP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L22" i="6"/>
  <c r="B52" i="1"/>
  <c r="F34" i="80"/>
  <c r="F15" i="80"/>
  <c r="F17" i="80"/>
  <c r="F18" i="80"/>
  <c r="F20" i="80"/>
  <c r="F23" i="80"/>
  <c r="F21" i="80"/>
  <c r="F28" i="80"/>
  <c r="C28" i="80"/>
  <c r="M47" i="80"/>
  <c r="J50" i="80"/>
  <c r="J51" i="80"/>
  <c r="F32" i="67"/>
  <c r="F33" i="67"/>
  <c r="F15" i="67"/>
  <c r="F17" i="67"/>
  <c r="F18" i="67"/>
  <c r="F20" i="67"/>
  <c r="F23" i="67"/>
  <c r="F21" i="67"/>
  <c r="F28" i="67"/>
  <c r="C28" i="67"/>
  <c r="J50" i="67"/>
  <c r="J51" i="67"/>
  <c r="J20" i="43"/>
  <c r="G2" i="43"/>
  <c r="I2" i="43"/>
  <c r="M6" i="43"/>
  <c r="C6" i="43"/>
  <c r="C7" i="43"/>
  <c r="C18" i="43"/>
  <c r="G19" i="43"/>
  <c r="I5" i="3"/>
  <c r="AD5" i="3"/>
  <c r="AH5" i="3"/>
  <c r="AL5" i="3"/>
  <c r="J5" i="3"/>
  <c r="K5" i="3"/>
  <c r="L5" i="3"/>
  <c r="M5" i="3"/>
  <c r="N5" i="3"/>
  <c r="O5" i="3"/>
  <c r="P5" i="3"/>
  <c r="Q5" i="3"/>
  <c r="R5" i="3"/>
  <c r="S5" i="3"/>
  <c r="T5" i="3"/>
  <c r="U5" i="3"/>
  <c r="V5" i="3"/>
  <c r="W5" i="3"/>
  <c r="X5" i="3"/>
  <c r="Y5" i="3"/>
  <c r="Z5" i="3"/>
  <c r="AA5" i="3"/>
  <c r="AB5" i="3"/>
  <c r="AC5" i="3"/>
  <c r="AE5" i="3"/>
  <c r="AF5" i="3"/>
  <c r="AG5" i="3"/>
  <c r="AI5" i="3"/>
  <c r="AJ5" i="3"/>
  <c r="AK5" i="3"/>
  <c r="AM5" i="3"/>
  <c r="AN5" i="3"/>
  <c r="AO5" i="3"/>
  <c r="AP5" i="3"/>
  <c r="AQ5" i="3"/>
  <c r="AR5" i="3"/>
  <c r="AS5" i="3"/>
  <c r="I4" i="6"/>
  <c r="G3" i="43"/>
  <c r="S2" i="43"/>
  <c r="D48" i="43"/>
  <c r="D49" i="43"/>
  <c r="M50" i="43"/>
  <c r="D50" i="43"/>
  <c r="K51" i="43"/>
  <c r="D51" i="43"/>
  <c r="M52" i="43"/>
  <c r="N52" i="43"/>
  <c r="D52" i="43"/>
  <c r="D53" i="43"/>
  <c r="D54" i="43"/>
  <c r="K55" i="43"/>
  <c r="D55" i="43"/>
  <c r="K56" i="43"/>
  <c r="D56" i="43"/>
  <c r="F7" i="69"/>
  <c r="E9" i="69"/>
  <c r="E10" i="69"/>
  <c r="C19" i="69"/>
  <c r="F20" i="69"/>
  <c r="F21" i="69"/>
  <c r="C21" i="69"/>
  <c r="F30" i="69"/>
  <c r="C30" i="69"/>
  <c r="F35" i="69"/>
  <c r="E37" i="69"/>
  <c r="F38" i="69"/>
  <c r="C48" i="69"/>
  <c r="C6" i="81"/>
  <c r="C7" i="81"/>
  <c r="B26" i="31"/>
  <c r="B25" i="31"/>
  <c r="B24" i="31"/>
  <c r="D9" i="1"/>
  <c r="K59" i="80"/>
  <c r="P74" i="80"/>
  <c r="Q72" i="80"/>
  <c r="F61" i="80"/>
  <c r="P61" i="80"/>
  <c r="Q59" i="80"/>
  <c r="F59" i="80"/>
  <c r="Q58" i="80"/>
  <c r="Q51" i="80"/>
  <c r="D46" i="80"/>
  <c r="F31" i="80"/>
  <c r="AG9" i="1"/>
  <c r="M18" i="80"/>
  <c r="M19" i="80"/>
  <c r="M20" i="80"/>
  <c r="D24" i="80"/>
  <c r="D23" i="80"/>
  <c r="D22" i="80"/>
  <c r="M17" i="80"/>
  <c r="G41" i="78"/>
  <c r="F36" i="78"/>
  <c r="G22" i="78"/>
  <c r="B31" i="1"/>
  <c r="E19" i="78"/>
  <c r="H1" i="78"/>
  <c r="H113" i="77"/>
  <c r="F113" i="77"/>
  <c r="N99" i="77"/>
  <c r="N108" i="77"/>
  <c r="M99" i="77"/>
  <c r="M108" i="77"/>
  <c r="L99" i="77"/>
  <c r="L108" i="77"/>
  <c r="K99" i="77"/>
  <c r="K108" i="77"/>
  <c r="J99" i="77"/>
  <c r="J108" i="77"/>
  <c r="I99" i="77"/>
  <c r="I108" i="77"/>
  <c r="H99" i="77"/>
  <c r="H108" i="77"/>
  <c r="G99" i="77"/>
  <c r="G108" i="77"/>
  <c r="F99" i="77"/>
  <c r="F108" i="77"/>
  <c r="E99" i="77"/>
  <c r="E108" i="77"/>
  <c r="D99" i="77"/>
  <c r="D108" i="77"/>
  <c r="C99" i="77"/>
  <c r="C108" i="77"/>
  <c r="N100" i="77"/>
  <c r="L100" i="77"/>
  <c r="J100" i="77"/>
  <c r="H100" i="77"/>
  <c r="F100" i="77"/>
  <c r="D100" i="77"/>
  <c r="M88" i="77"/>
  <c r="N88" i="77"/>
  <c r="K88" i="77"/>
  <c r="J88" i="77"/>
  <c r="F81" i="77"/>
  <c r="H88" i="77"/>
  <c r="D88" i="77"/>
  <c r="G18" i="20"/>
  <c r="B88" i="77"/>
  <c r="M87" i="77"/>
  <c r="N87" i="77"/>
  <c r="K87" i="77"/>
  <c r="J87" i="77"/>
  <c r="D87" i="77"/>
  <c r="M86" i="77"/>
  <c r="N86" i="77"/>
  <c r="K86" i="77"/>
  <c r="J86" i="77"/>
  <c r="D86" i="77"/>
  <c r="G20" i="20"/>
  <c r="B86" i="77"/>
  <c r="M85" i="77"/>
  <c r="N85" i="77"/>
  <c r="K85" i="77"/>
  <c r="J85" i="77"/>
  <c r="D85" i="77"/>
  <c r="G19" i="20"/>
  <c r="B85" i="77"/>
  <c r="M84" i="77"/>
  <c r="N84" i="77"/>
  <c r="K84" i="77"/>
  <c r="J84" i="77"/>
  <c r="D84" i="77"/>
  <c r="B84" i="77"/>
  <c r="M83" i="77"/>
  <c r="N83" i="77"/>
  <c r="K83" i="77"/>
  <c r="J83" i="77"/>
  <c r="H83" i="77"/>
  <c r="D83" i="77"/>
  <c r="B83" i="77"/>
  <c r="M82" i="77"/>
  <c r="N82" i="77"/>
  <c r="K82" i="77"/>
  <c r="J82" i="77"/>
  <c r="D82" i="77"/>
  <c r="G16" i="20"/>
  <c r="B82" i="77"/>
  <c r="M81" i="77"/>
  <c r="N81" i="77"/>
  <c r="K81" i="77"/>
  <c r="J81" i="77"/>
  <c r="D81" i="77"/>
  <c r="E81" i="77"/>
  <c r="B79" i="77"/>
  <c r="G15" i="20"/>
  <c r="B81" i="77"/>
  <c r="M78" i="77"/>
  <c r="N78" i="77"/>
  <c r="K78" i="77"/>
  <c r="J78" i="77"/>
  <c r="F70" i="77"/>
  <c r="H78" i="77"/>
  <c r="D78" i="77"/>
  <c r="M77" i="77"/>
  <c r="N77" i="77"/>
  <c r="K77" i="77"/>
  <c r="J77" i="77"/>
  <c r="H77" i="77"/>
  <c r="D77" i="77"/>
  <c r="C20" i="20"/>
  <c r="B77" i="77"/>
  <c r="M76" i="77"/>
  <c r="N76" i="77"/>
  <c r="K76" i="77"/>
  <c r="J76" i="77"/>
  <c r="H76" i="77"/>
  <c r="D76" i="77"/>
  <c r="M75" i="77"/>
  <c r="N75" i="77"/>
  <c r="K75" i="77"/>
  <c r="J75" i="77"/>
  <c r="H75" i="77"/>
  <c r="D75" i="77"/>
  <c r="C22" i="20"/>
  <c r="B75" i="77"/>
  <c r="M74" i="77"/>
  <c r="N74" i="77"/>
  <c r="K74" i="77"/>
  <c r="J74" i="77"/>
  <c r="H74" i="77"/>
  <c r="D74" i="77"/>
  <c r="C21" i="20"/>
  <c r="B74" i="77"/>
  <c r="M73" i="77"/>
  <c r="N73" i="77"/>
  <c r="K73" i="77"/>
  <c r="J73" i="77"/>
  <c r="H73" i="77"/>
  <c r="D73" i="77"/>
  <c r="C24" i="20"/>
  <c r="B73" i="77"/>
  <c r="M72" i="77"/>
  <c r="N72" i="77"/>
  <c r="K72" i="77"/>
  <c r="J72" i="77"/>
  <c r="H72" i="77"/>
  <c r="D72" i="77"/>
  <c r="B72" i="77"/>
  <c r="M71" i="77"/>
  <c r="N71" i="77"/>
  <c r="K71" i="77"/>
  <c r="J71" i="77"/>
  <c r="H71" i="77"/>
  <c r="D71" i="77"/>
  <c r="C18" i="20"/>
  <c r="B71" i="77"/>
  <c r="M70" i="77"/>
  <c r="N70" i="77"/>
  <c r="K70" i="77"/>
  <c r="J70" i="77"/>
  <c r="H70" i="77"/>
  <c r="D70" i="77"/>
  <c r="E70" i="77"/>
  <c r="B68" i="77"/>
  <c r="C15" i="20"/>
  <c r="B70" i="77"/>
  <c r="M67" i="77"/>
  <c r="N67" i="77"/>
  <c r="K67" i="77"/>
  <c r="J67" i="77"/>
  <c r="F59" i="77"/>
  <c r="H67" i="77"/>
  <c r="D67" i="77"/>
  <c r="B67" i="77"/>
  <c r="M66" i="77"/>
  <c r="N66" i="77"/>
  <c r="K66" i="77"/>
  <c r="J66" i="77"/>
  <c r="H66" i="77"/>
  <c r="D66" i="77"/>
  <c r="M65" i="77"/>
  <c r="N65" i="77"/>
  <c r="K65" i="77"/>
  <c r="J65" i="77"/>
  <c r="H65" i="77"/>
  <c r="D65" i="77"/>
  <c r="B65" i="77"/>
  <c r="M64" i="77"/>
  <c r="N64" i="77"/>
  <c r="K64" i="77"/>
  <c r="J64" i="77"/>
  <c r="H64" i="77"/>
  <c r="D64" i="77"/>
  <c r="M63" i="77"/>
  <c r="N63" i="77"/>
  <c r="K63" i="77"/>
  <c r="J63" i="77"/>
  <c r="H63" i="77"/>
  <c r="D63" i="77"/>
  <c r="M62" i="77"/>
  <c r="N62" i="77"/>
  <c r="K62" i="77"/>
  <c r="J62" i="77"/>
  <c r="H62" i="77"/>
  <c r="D62" i="77"/>
  <c r="M61" i="77"/>
  <c r="N61" i="77"/>
  <c r="K61" i="77"/>
  <c r="J61" i="77"/>
  <c r="H61" i="77"/>
  <c r="D61" i="77"/>
  <c r="B61" i="77"/>
  <c r="M60" i="77"/>
  <c r="N60" i="77"/>
  <c r="K60" i="77"/>
  <c r="J60" i="77"/>
  <c r="H60" i="77"/>
  <c r="D60" i="77"/>
  <c r="B60" i="77"/>
  <c r="M59" i="77"/>
  <c r="N59" i="77"/>
  <c r="K59" i="77"/>
  <c r="J59" i="77"/>
  <c r="H59" i="77"/>
  <c r="D59" i="77"/>
  <c r="E59" i="77"/>
  <c r="B57" i="77"/>
  <c r="C17" i="20"/>
  <c r="B59" i="77"/>
  <c r="M56" i="77"/>
  <c r="N56" i="77"/>
  <c r="J56" i="77"/>
  <c r="N6" i="77"/>
  <c r="F48" i="77"/>
  <c r="H56" i="77"/>
  <c r="B56" i="77"/>
  <c r="M55" i="77"/>
  <c r="N55" i="77"/>
  <c r="J55" i="77"/>
  <c r="H55" i="77"/>
  <c r="M54" i="77"/>
  <c r="N54" i="77"/>
  <c r="K54" i="77"/>
  <c r="J54" i="77"/>
  <c r="H54" i="77"/>
  <c r="M53" i="77"/>
  <c r="N53" i="77"/>
  <c r="K53" i="77"/>
  <c r="J53" i="77"/>
  <c r="H53" i="77"/>
  <c r="K52" i="77"/>
  <c r="J52" i="77"/>
  <c r="B52" i="77"/>
  <c r="M51" i="77"/>
  <c r="N51" i="77"/>
  <c r="J51" i="77"/>
  <c r="H51" i="77"/>
  <c r="N50" i="77"/>
  <c r="K50" i="77"/>
  <c r="J50" i="77"/>
  <c r="H50" i="77"/>
  <c r="B50" i="77"/>
  <c r="M49" i="77"/>
  <c r="N49" i="77"/>
  <c r="K49" i="77"/>
  <c r="J49" i="77"/>
  <c r="H49" i="77"/>
  <c r="B49" i="77"/>
  <c r="M48" i="77"/>
  <c r="N48" i="77"/>
  <c r="K48" i="77"/>
  <c r="J48" i="77"/>
  <c r="H48" i="77"/>
  <c r="B48" i="77"/>
  <c r="C7" i="77"/>
  <c r="F39" i="77"/>
  <c r="H39" i="77"/>
  <c r="F38" i="77"/>
  <c r="H38" i="77"/>
  <c r="F37" i="77"/>
  <c r="H37" i="77"/>
  <c r="F36" i="77"/>
  <c r="H36" i="77"/>
  <c r="F35" i="77"/>
  <c r="H35" i="77"/>
  <c r="F34" i="77"/>
  <c r="H34" i="77"/>
  <c r="H33" i="77"/>
  <c r="C18" i="77"/>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B7" i="71"/>
  <c r="B6" i="71"/>
  <c r="B5" i="71"/>
  <c r="C7" i="71"/>
  <c r="C6" i="71"/>
  <c r="C5" i="71"/>
  <c r="D5" i="71"/>
  <c r="E7" i="71"/>
  <c r="E6" i="71"/>
  <c r="E5" i="71"/>
  <c r="F7" i="71"/>
  <c r="F6" i="71"/>
  <c r="F5" i="71"/>
  <c r="D7" i="71"/>
  <c r="D8" i="71"/>
  <c r="B11" i="71"/>
  <c r="B10" i="71"/>
  <c r="B9" i="71"/>
  <c r="C11" i="71"/>
  <c r="C10" i="71"/>
  <c r="C9" i="71"/>
  <c r="D9" i="71"/>
  <c r="E11" i="71"/>
  <c r="E10" i="71"/>
  <c r="E9" i="71"/>
  <c r="F11" i="71"/>
  <c r="F10" i="71"/>
  <c r="F9" i="71"/>
  <c r="D11" i="71"/>
  <c r="D12" i="71"/>
  <c r="B13" i="71"/>
  <c r="B14" i="71"/>
  <c r="B15" i="71"/>
  <c r="C13" i="71"/>
  <c r="D13" i="71"/>
  <c r="E13" i="71"/>
  <c r="F13" i="71"/>
  <c r="F14" i="71"/>
  <c r="F15" i="71"/>
  <c r="V15" i="71"/>
  <c r="C14" i="71"/>
  <c r="D14" i="71"/>
  <c r="E14" i="71"/>
  <c r="E15" i="71"/>
  <c r="U15" i="71"/>
  <c r="D16" i="71"/>
  <c r="B17" i="71"/>
  <c r="B18" i="71"/>
  <c r="B19" i="71"/>
  <c r="C17" i="71"/>
  <c r="D17" i="71"/>
  <c r="E17" i="71"/>
  <c r="F17" i="71"/>
  <c r="F18" i="71"/>
  <c r="F19" i="71"/>
  <c r="C18" i="71"/>
  <c r="D18" i="71"/>
  <c r="E18" i="71"/>
  <c r="E19" i="71"/>
  <c r="D20" i="71"/>
  <c r="B21" i="71"/>
  <c r="B22" i="71"/>
  <c r="B23" i="71"/>
  <c r="C21" i="71"/>
  <c r="D21" i="71"/>
  <c r="E21" i="71"/>
  <c r="F21" i="71"/>
  <c r="F22" i="71"/>
  <c r="F23" i="71"/>
  <c r="V23" i="71"/>
  <c r="C22" i="71"/>
  <c r="D22" i="71"/>
  <c r="E22" i="71"/>
  <c r="E23" i="71"/>
  <c r="O19" i="77"/>
  <c r="I19" i="77"/>
  <c r="E17" i="77"/>
  <c r="F15" i="77"/>
  <c r="E15" i="77"/>
  <c r="D15" i="77"/>
  <c r="C15" i="77"/>
  <c r="AJ9" i="77"/>
  <c r="AJ12" i="77"/>
  <c r="AI9" i="77"/>
  <c r="AI12" i="77"/>
  <c r="AH9" i="77"/>
  <c r="AH12" i="77"/>
  <c r="AG9" i="77"/>
  <c r="AG12" i="77"/>
  <c r="AF9" i="77"/>
  <c r="AF12" i="77"/>
  <c r="AE9" i="77"/>
  <c r="AE12" i="77"/>
  <c r="AD9" i="77"/>
  <c r="AD12" i="77"/>
  <c r="AC9" i="77"/>
  <c r="AC12" i="77"/>
  <c r="AB9" i="77"/>
  <c r="AB12" i="77"/>
  <c r="AA9" i="77"/>
  <c r="AA12" i="77"/>
  <c r="Z9" i="77"/>
  <c r="Z12" i="77"/>
  <c r="Y12" i="77"/>
  <c r="N12" i="77"/>
  <c r="M12" i="77"/>
  <c r="C12" i="77"/>
  <c r="N11" i="77"/>
  <c r="M11" i="77"/>
  <c r="C10" i="77"/>
  <c r="C11" i="77"/>
  <c r="AJ10" i="77"/>
  <c r="AI10" i="77"/>
  <c r="AH10" i="77"/>
  <c r="AG10" i="77"/>
  <c r="AF10" i="77"/>
  <c r="AE10" i="77"/>
  <c r="AD10" i="77"/>
  <c r="AC10" i="77"/>
  <c r="AB10" i="77"/>
  <c r="AA10" i="77"/>
  <c r="Z10" i="77"/>
  <c r="Y10" i="77"/>
  <c r="N10" i="77"/>
  <c r="M10" i="77"/>
  <c r="E10" i="77"/>
  <c r="N9" i="77"/>
  <c r="M9" i="77"/>
  <c r="C9" i="77"/>
  <c r="N8" i="77"/>
  <c r="M8" i="77"/>
  <c r="X7" i="77"/>
  <c r="N7" i="77"/>
  <c r="M7" i="77"/>
  <c r="A7" i="77"/>
  <c r="N5" i="77"/>
  <c r="M5" i="77"/>
  <c r="N4" i="77"/>
  <c r="M4" i="77"/>
  <c r="N3" i="77"/>
  <c r="M3" i="77"/>
  <c r="D1" i="77"/>
  <c r="N2" i="77"/>
  <c r="M2" i="77"/>
  <c r="N1" i="77"/>
  <c r="M1" i="77"/>
  <c r="F33" i="43"/>
  <c r="F34" i="43"/>
  <c r="F35" i="43"/>
  <c r="F36" i="43"/>
  <c r="F37" i="43"/>
  <c r="F38" i="43"/>
  <c r="F39" i="43"/>
  <c r="I19" i="43"/>
  <c r="M47" i="15"/>
  <c r="J53" i="15"/>
  <c r="H33" i="43"/>
  <c r="T7" i="71"/>
  <c r="S7" i="71"/>
  <c r="V7" i="71"/>
  <c r="U7" i="71"/>
  <c r="A2" i="53"/>
  <c r="B19" i="72"/>
  <c r="K59" i="67"/>
  <c r="P61" i="67"/>
  <c r="K59" i="15"/>
  <c r="P74" i="15"/>
  <c r="P61" i="15"/>
  <c r="P74" i="67"/>
  <c r="D116" i="39"/>
  <c r="E116" i="39"/>
  <c r="F116" i="39"/>
  <c r="G116" i="39"/>
  <c r="H116" i="39"/>
  <c r="I116" i="39"/>
  <c r="J116" i="39"/>
  <c r="K116" i="39"/>
  <c r="L116" i="39"/>
  <c r="M116" i="39"/>
  <c r="C116" i="39"/>
  <c r="A21" i="62"/>
  <c r="B67" i="72"/>
  <c r="A20" i="62"/>
  <c r="A22" i="51"/>
  <c r="A21" i="51"/>
  <c r="A20" i="51"/>
  <c r="A15" i="62"/>
  <c r="A14" i="62"/>
  <c r="B60" i="72"/>
  <c r="A13" i="62"/>
  <c r="A19" i="62"/>
  <c r="B65" i="72"/>
  <c r="A12" i="62"/>
  <c r="A120" i="9"/>
  <c r="H2" i="52"/>
  <c r="A1" i="52"/>
  <c r="A3" i="53"/>
  <c r="A15" i="51"/>
  <c r="B12" i="72"/>
  <c r="C76" i="9"/>
  <c r="I107" i="40"/>
  <c r="K6" i="4"/>
  <c r="M56" i="9"/>
  <c r="B22" i="31"/>
  <c r="N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59" i="72"/>
  <c r="B58" i="72"/>
  <c r="B66" i="72"/>
  <c r="B10" i="72"/>
  <c r="C53" i="10"/>
  <c r="B51" i="10"/>
  <c r="A18" i="51"/>
  <c r="B13" i="72"/>
  <c r="C8" i="68"/>
  <c r="B49" i="48"/>
  <c r="B5" i="72"/>
  <c r="D72" i="71"/>
  <c r="F71" i="71"/>
  <c r="F70" i="71"/>
  <c r="E71" i="71"/>
  <c r="E70" i="71"/>
  <c r="E69" i="71"/>
  <c r="C71" i="71"/>
  <c r="D71" i="71"/>
  <c r="B71" i="71"/>
  <c r="B70" i="71"/>
  <c r="F69" i="71"/>
  <c r="B69" i="71"/>
  <c r="D68" i="71"/>
  <c r="F67" i="71"/>
  <c r="F66" i="71"/>
  <c r="E67" i="71"/>
  <c r="E66" i="71"/>
  <c r="E65" i="71"/>
  <c r="C67" i="71"/>
  <c r="D67" i="71"/>
  <c r="B67" i="71"/>
  <c r="B66" i="71"/>
  <c r="F65"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F50" i="71"/>
  <c r="F49" i="71"/>
  <c r="Q49"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E42" i="71"/>
  <c r="E43" i="71"/>
  <c r="U43" i="71"/>
  <c r="O40" i="71"/>
  <c r="C41" i="71"/>
  <c r="D41" i="71"/>
  <c r="N40" i="71"/>
  <c r="B41" i="71"/>
  <c r="B42" i="71"/>
  <c r="B43" i="71"/>
  <c r="S43" i="71"/>
  <c r="D40" i="71"/>
  <c r="Q39" i="71"/>
  <c r="P39" i="71"/>
  <c r="O39" i="71"/>
  <c r="N39" i="71"/>
  <c r="Q38" i="71"/>
  <c r="P38" i="71"/>
  <c r="O38" i="71"/>
  <c r="N38" i="71"/>
  <c r="Q37" i="71"/>
  <c r="P37" i="71"/>
  <c r="O37" i="71"/>
  <c r="N37" i="71"/>
  <c r="O36" i="71"/>
  <c r="C37" i="71"/>
  <c r="D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D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C30" i="71"/>
  <c r="D30"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C26" i="71"/>
  <c r="N24" i="71"/>
  <c r="B25" i="71"/>
  <c r="B26" i="71"/>
  <c r="B27" i="71"/>
  <c r="S27" i="71"/>
  <c r="D24" i="71"/>
  <c r="Q23" i="71"/>
  <c r="P23" i="71"/>
  <c r="O23" i="71"/>
  <c r="N23" i="71"/>
  <c r="V19" i="71"/>
  <c r="S15" i="71"/>
  <c r="S19" i="71"/>
  <c r="S23" i="71"/>
  <c r="U23" i="71"/>
  <c r="N51" i="71"/>
  <c r="U19" i="71"/>
  <c r="F34" i="71"/>
  <c r="F35" i="71"/>
  <c r="V35" i="71"/>
  <c r="D25" i="71"/>
  <c r="C34" i="71"/>
  <c r="C35" i="71"/>
  <c r="E38" i="71"/>
  <c r="E39" i="71"/>
  <c r="U39" i="71"/>
  <c r="E46" i="71"/>
  <c r="E47" i="71"/>
  <c r="U47" i="71"/>
  <c r="U51" i="71"/>
  <c r="E50" i="71"/>
  <c r="C38" i="71"/>
  <c r="C39" i="71"/>
  <c r="C42" i="71"/>
  <c r="C43" i="71"/>
  <c r="C46" i="71"/>
  <c r="D46" i="71"/>
  <c r="D45" i="71"/>
  <c r="Q50" i="71"/>
  <c r="T51" i="71"/>
  <c r="O51" i="71"/>
  <c r="D51" i="71"/>
  <c r="C50" i="71"/>
  <c r="C49" i="71"/>
  <c r="Q51" i="71"/>
  <c r="C54" i="71"/>
  <c r="C53" i="71"/>
  <c r="D53" i="71"/>
  <c r="D55" i="71"/>
  <c r="C58" i="71"/>
  <c r="D58" i="71"/>
  <c r="E58" i="71"/>
  <c r="E57" i="71"/>
  <c r="D59" i="71"/>
  <c r="C62" i="71"/>
  <c r="D62" i="71"/>
  <c r="D63" i="71"/>
  <c r="C66" i="71"/>
  <c r="C65" i="71"/>
  <c r="D65" i="71"/>
  <c r="T11" i="71"/>
  <c r="S11" i="71"/>
  <c r="U11" i="71"/>
  <c r="O50" i="71"/>
  <c r="C47" i="71"/>
  <c r="D47" i="71"/>
  <c r="D66" i="71"/>
  <c r="C57" i="71"/>
  <c r="D57" i="71"/>
  <c r="C61" i="71"/>
  <c r="D61" i="71"/>
  <c r="D54" i="71"/>
  <c r="D42" i="71"/>
  <c r="D38" i="71"/>
  <c r="P50" i="71"/>
  <c r="E49" i="71"/>
  <c r="P49" i="71"/>
  <c r="D34" i="71"/>
  <c r="V11" i="71"/>
  <c r="P48" i="71"/>
  <c r="T47" i="71"/>
  <c r="O27" i="6"/>
  <c r="N27" i="6"/>
  <c r="P20" i="6"/>
  <c r="P19" i="6"/>
  <c r="P21" i="6"/>
  <c r="P22" i="6"/>
  <c r="P23" i="6"/>
  <c r="P24" i="6"/>
  <c r="P25" i="6"/>
  <c r="P26" i="6"/>
  <c r="P27" i="6"/>
  <c r="AP8" i="1"/>
  <c r="AP9" i="1"/>
  <c r="AP10" i="1"/>
  <c r="AP11" i="1"/>
  <c r="AP12" i="1"/>
  <c r="AP13" i="1"/>
  <c r="L21" i="6"/>
  <c r="L23" i="6"/>
  <c r="L24" i="6"/>
  <c r="L25" i="6"/>
  <c r="L26" i="6"/>
  <c r="A7" i="70"/>
  <c r="A8" i="70"/>
  <c r="E8" i="70"/>
  <c r="A9" i="70"/>
  <c r="E9" i="70"/>
  <c r="A10" i="70"/>
  <c r="E10" i="70"/>
  <c r="A11" i="70"/>
  <c r="E11" i="70"/>
  <c r="A12" i="70"/>
  <c r="E12" i="70"/>
  <c r="A13" i="70"/>
  <c r="E13" i="70"/>
  <c r="A6" i="70"/>
  <c r="Q25" i="40"/>
  <c r="Z25" i="40"/>
  <c r="D94" i="40"/>
  <c r="E94" i="40"/>
  <c r="F94" i="40"/>
  <c r="G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B86" i="43"/>
  <c r="B75" i="43"/>
  <c r="B55" i="43"/>
  <c r="B66" i="43"/>
  <c r="C25" i="40"/>
  <c r="C29" i="39"/>
  <c r="S25" i="40"/>
  <c r="S18" i="36"/>
  <c r="U18" i="36"/>
  <c r="S21" i="34"/>
  <c r="H25" i="40"/>
  <c r="AB25" i="40"/>
  <c r="J25" i="40"/>
  <c r="AC25" i="40"/>
  <c r="H29" i="39"/>
  <c r="AB29" i="39"/>
  <c r="J29" i="39"/>
  <c r="AC29" i="39"/>
  <c r="J18" i="36"/>
  <c r="AC18" i="36"/>
  <c r="H18" i="35"/>
  <c r="AB18" i="35"/>
  <c r="J18" i="35"/>
  <c r="F77" i="37"/>
  <c r="G77" i="37"/>
  <c r="H21" i="37"/>
  <c r="F21" i="37"/>
  <c r="AA21" i="37"/>
  <c r="H21" i="34"/>
  <c r="AB21" i="34"/>
  <c r="H21" i="33"/>
  <c r="U21" i="33"/>
  <c r="F21" i="33"/>
  <c r="E83" i="21"/>
  <c r="F83" i="21"/>
  <c r="G83" i="21"/>
  <c r="S21" i="21"/>
  <c r="H1" i="69"/>
  <c r="W25" i="40"/>
  <c r="U25" i="40"/>
  <c r="U29" i="39"/>
  <c r="W29" i="39"/>
  <c r="W18" i="36"/>
  <c r="AB21" i="37"/>
  <c r="U21" i="37"/>
  <c r="S21" i="37"/>
  <c r="U21" i="34"/>
  <c r="AB21" i="33"/>
  <c r="AA21" i="33"/>
  <c r="S21" i="33"/>
  <c r="U18" i="35"/>
  <c r="AC18" i="35"/>
  <c r="W18" i="35"/>
  <c r="J21" i="37"/>
  <c r="W21" i="37"/>
  <c r="J21" i="34"/>
  <c r="W21" i="34"/>
  <c r="J21" i="33"/>
  <c r="W21" i="33"/>
  <c r="H21" i="21"/>
  <c r="U21" i="21"/>
  <c r="F36" i="69"/>
  <c r="AC21" i="37"/>
  <c r="AC21" i="34"/>
  <c r="AC21" i="33"/>
  <c r="AB21" i="21"/>
  <c r="J21" i="21"/>
  <c r="F38" i="68"/>
  <c r="E37" i="68"/>
  <c r="F36" i="68"/>
  <c r="F35" i="68"/>
  <c r="F21" i="68"/>
  <c r="C21" i="68"/>
  <c r="F20" i="68"/>
  <c r="E10" i="68"/>
  <c r="E9" i="68"/>
  <c r="F7" i="68"/>
  <c r="C7" i="68"/>
  <c r="W21" i="21"/>
  <c r="AC21" i="21"/>
  <c r="Q72" i="67"/>
  <c r="Q59" i="67"/>
  <c r="Q58" i="67"/>
  <c r="Q51" i="67"/>
  <c r="D46" i="67"/>
  <c r="F61" i="67"/>
  <c r="D24" i="67"/>
  <c r="M19"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D1" i="43"/>
  <c r="F113" i="43"/>
  <c r="N99" i="43"/>
  <c r="N108" i="43"/>
  <c r="D99" i="43"/>
  <c r="D108" i="43"/>
  <c r="E99" i="43"/>
  <c r="E108" i="43"/>
  <c r="F99" i="43"/>
  <c r="F108" i="43"/>
  <c r="G99" i="43"/>
  <c r="G108" i="43"/>
  <c r="G101" i="43"/>
  <c r="G109" i="43"/>
  <c r="H99" i="43"/>
  <c r="H108" i="43"/>
  <c r="H101" i="43"/>
  <c r="H109" i="43"/>
  <c r="I99" i="43"/>
  <c r="I108" i="43"/>
  <c r="J99" i="43"/>
  <c r="J108" i="43"/>
  <c r="J101" i="43"/>
  <c r="J109" i="43"/>
  <c r="K99" i="43"/>
  <c r="K108" i="43"/>
  <c r="K101" i="43"/>
  <c r="K109" i="43"/>
  <c r="L99" i="43"/>
  <c r="L108" i="43"/>
  <c r="M99" i="43"/>
  <c r="M108" i="43"/>
  <c r="C99" i="43"/>
  <c r="C108" i="43"/>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J55" i="43"/>
  <c r="M54" i="43"/>
  <c r="N54" i="43"/>
  <c r="K54" i="43"/>
  <c r="J54" i="43"/>
  <c r="M53" i="43"/>
  <c r="N53" i="43"/>
  <c r="K53" i="43"/>
  <c r="J53" i="43"/>
  <c r="K52" i="43"/>
  <c r="J52" i="43"/>
  <c r="M51" i="43"/>
  <c r="N51" i="43"/>
  <c r="J51" i="43"/>
  <c r="N50" i="43"/>
  <c r="K50" i="43"/>
  <c r="J50" i="43"/>
  <c r="M49" i="43"/>
  <c r="N49" i="43"/>
  <c r="K49" i="43"/>
  <c r="J49" i="43"/>
  <c r="M48" i="43"/>
  <c r="N48" i="43"/>
  <c r="K48" i="43"/>
  <c r="J48" i="43"/>
  <c r="Q72" i="15"/>
  <c r="Q58" i="15"/>
  <c r="Q51" i="15"/>
  <c r="Q59" i="15"/>
  <c r="AE10" i="1"/>
  <c r="AE11" i="1"/>
  <c r="AE12" i="1"/>
  <c r="AE13" i="1"/>
  <c r="AG7" i="1"/>
  <c r="AG8"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D11" i="1"/>
  <c r="G11" i="1"/>
  <c r="F12" i="1"/>
  <c r="F13" i="1"/>
  <c r="D6" i="1"/>
  <c r="D10"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G26" i="31"/>
  <c r="I26" i="31"/>
  <c r="K26" i="31"/>
  <c r="M26" i="31"/>
  <c r="O26" i="31"/>
  <c r="Q26" i="31"/>
  <c r="R26" i="31"/>
  <c r="S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I25" i="31"/>
  <c r="K25" i="31"/>
  <c r="M25" i="31"/>
  <c r="O25" i="31"/>
  <c r="Q25" i="31"/>
  <c r="R25" i="31"/>
  <c r="S25" i="31"/>
  <c r="S24"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102" i="31"/>
  <c r="S103" i="31"/>
  <c r="S104" i="31"/>
  <c r="S105" i="31"/>
  <c r="S106" i="31"/>
  <c r="S107"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S157" i="31"/>
  <c r="S158" i="31"/>
  <c r="S159" i="31"/>
  <c r="S160" i="31"/>
  <c r="S161" i="31"/>
  <c r="S162" i="31"/>
  <c r="S163" i="31"/>
  <c r="S164" i="31"/>
  <c r="S165" i="31"/>
  <c r="S166" i="31"/>
  <c r="S167" i="31"/>
  <c r="S168" i="31"/>
  <c r="S169" i="31"/>
  <c r="S170" i="31"/>
  <c r="S171" i="31"/>
  <c r="S172" i="31"/>
  <c r="S173" i="31"/>
  <c r="S174" i="31"/>
  <c r="S175" i="31"/>
  <c r="S176" i="31"/>
  <c r="S177" i="31"/>
  <c r="S178" i="31"/>
  <c r="S179" i="31"/>
  <c r="S180" i="31"/>
  <c r="S181" i="31"/>
  <c r="S182" i="31"/>
  <c r="S183" i="31"/>
  <c r="S184" i="31"/>
  <c r="S185" i="31"/>
  <c r="S186" i="31"/>
  <c r="S187" i="31"/>
  <c r="S188" i="31"/>
  <c r="S189" i="31"/>
  <c r="S190" i="31"/>
  <c r="S191" i="31"/>
  <c r="S192" i="31"/>
  <c r="S193" i="31"/>
  <c r="S194" i="31"/>
  <c r="S195" i="31"/>
  <c r="S196" i="31"/>
  <c r="S197" i="31"/>
  <c r="S198" i="31"/>
  <c r="S199" i="31"/>
  <c r="S200" i="31"/>
  <c r="S201" i="31"/>
  <c r="S202" i="31"/>
  <c r="S203" i="31"/>
  <c r="S204" i="31"/>
  <c r="S205" i="31"/>
  <c r="S206" i="31"/>
  <c r="S207" i="31"/>
  <c r="S208" i="31"/>
  <c r="S209" i="31"/>
  <c r="S210" i="31"/>
  <c r="S211" i="31"/>
  <c r="S212" i="31"/>
  <c r="S213" i="31"/>
  <c r="S214" i="31"/>
  <c r="S215" i="31"/>
  <c r="S216" i="31"/>
  <c r="S217" i="31"/>
  <c r="S218" i="31"/>
  <c r="S219" i="31"/>
  <c r="S220" i="31"/>
  <c r="S221" i="31"/>
  <c r="S222" i="31"/>
  <c r="S223" i="31"/>
  <c r="S224" i="31"/>
  <c r="S225" i="31"/>
  <c r="S226" i="31"/>
  <c r="S227" i="31"/>
  <c r="S228" i="31"/>
  <c r="S229" i="31"/>
  <c r="S230" i="31"/>
  <c r="S231" i="31"/>
  <c r="S232" i="31"/>
  <c r="S233" i="31"/>
  <c r="S234" i="31"/>
  <c r="S235" i="31"/>
  <c r="S236" i="31"/>
  <c r="S237" i="31"/>
  <c r="S238" i="31"/>
  <c r="S239" i="31"/>
  <c r="S240" i="31"/>
  <c r="S241" i="31"/>
  <c r="S242" i="31"/>
  <c r="S243" i="31"/>
  <c r="S244" i="31"/>
  <c r="S245" i="31"/>
  <c r="S246" i="31"/>
  <c r="S247" i="31"/>
  <c r="S248" i="31"/>
  <c r="S249" i="31"/>
  <c r="S250" i="31"/>
  <c r="S251" i="31"/>
  <c r="S252" i="31"/>
  <c r="S253" i="31"/>
  <c r="S254" i="31"/>
  <c r="S256" i="31"/>
  <c r="S258" i="31"/>
  <c r="S260" i="31"/>
  <c r="S262" i="31"/>
  <c r="S264" i="31"/>
  <c r="S266" i="31"/>
  <c r="S268" i="31"/>
  <c r="S270" i="31"/>
  <c r="S272" i="31"/>
  <c r="S274" i="31"/>
  <c r="S276" i="31"/>
  <c r="S278" i="31"/>
  <c r="S280" i="31"/>
  <c r="S282" i="31"/>
  <c r="S284" i="31"/>
  <c r="S286" i="31"/>
  <c r="S288" i="31"/>
  <c r="S290" i="31"/>
  <c r="S292" i="31"/>
  <c r="S294" i="31"/>
  <c r="S296" i="31"/>
  <c r="S298" i="31"/>
  <c r="S300" i="31"/>
  <c r="S302" i="31"/>
  <c r="S304" i="31"/>
  <c r="S306" i="31"/>
  <c r="S308" i="31"/>
  <c r="S310" i="31"/>
  <c r="S312" i="31"/>
  <c r="S314" i="31"/>
  <c r="S316" i="31"/>
  <c r="S318" i="31"/>
  <c r="S320" i="31"/>
  <c r="S322" i="31"/>
  <c r="S324" i="31"/>
  <c r="S326" i="31"/>
  <c r="S328" i="31"/>
  <c r="S330" i="31"/>
  <c r="S332" i="31"/>
  <c r="S334" i="31"/>
  <c r="S336" i="31"/>
  <c r="S338" i="31"/>
  <c r="S340" i="31"/>
  <c r="S342" i="31"/>
  <c r="S344" i="31"/>
  <c r="S346" i="31"/>
  <c r="S348" i="31"/>
  <c r="S350" i="31"/>
  <c r="S352" i="31"/>
  <c r="S354" i="31"/>
  <c r="S356" i="31"/>
  <c r="S358" i="31"/>
  <c r="S360" i="31"/>
  <c r="S362" i="31"/>
  <c r="S364" i="31"/>
  <c r="S366" i="31"/>
  <c r="S368" i="31"/>
  <c r="S370" i="31"/>
  <c r="S372" i="31"/>
  <c r="S374" i="31"/>
  <c r="S376" i="31"/>
  <c r="S378" i="31"/>
  <c r="S380" i="31"/>
  <c r="S382" i="31"/>
  <c r="S384" i="31"/>
  <c r="S386" i="31"/>
  <c r="S388" i="31"/>
  <c r="S390" i="31"/>
  <c r="S392" i="31"/>
  <c r="S394" i="31"/>
  <c r="S396" i="31"/>
  <c r="S398" i="31"/>
  <c r="S400" i="31"/>
  <c r="S402" i="31"/>
  <c r="S404" i="31"/>
  <c r="S406" i="31"/>
  <c r="S408" i="31"/>
  <c r="S410" i="31"/>
  <c r="S412" i="31"/>
  <c r="S414" i="31"/>
  <c r="S416" i="31"/>
  <c r="S418" i="31"/>
  <c r="S420" i="31"/>
  <c r="S422" i="31"/>
  <c r="S424" i="31"/>
  <c r="S425" i="31"/>
  <c r="S426" i="31"/>
  <c r="S427" i="31"/>
  <c r="S428" i="31"/>
  <c r="S429" i="31"/>
  <c r="S430" i="31"/>
  <c r="S431" i="31"/>
  <c r="S432" i="31"/>
  <c r="S433" i="31"/>
  <c r="S434" i="31"/>
  <c r="S435" i="31"/>
  <c r="S436" i="31"/>
  <c r="S437" i="31"/>
  <c r="S438" i="31"/>
  <c r="S439" i="31"/>
  <c r="S440" i="31"/>
  <c r="S441" i="31"/>
  <c r="S442" i="31"/>
  <c r="S443" i="31"/>
  <c r="S444" i="31"/>
  <c r="S445" i="31"/>
  <c r="S446" i="31"/>
  <c r="S447" i="31"/>
  <c r="S448" i="31"/>
  <c r="S449" i="31"/>
  <c r="S450" i="31"/>
  <c r="S451" i="31"/>
  <c r="S452" i="31"/>
  <c r="S453" i="31"/>
  <c r="S454" i="31"/>
  <c r="S455" i="31"/>
  <c r="S456" i="31"/>
  <c r="S457" i="31"/>
  <c r="S458" i="31"/>
  <c r="S459" i="31"/>
  <c r="S460" i="31"/>
  <c r="S461" i="31"/>
  <c r="S462" i="31"/>
  <c r="S463" i="31"/>
  <c r="S464" i="31"/>
  <c r="S465" i="31"/>
  <c r="S466" i="31"/>
  <c r="S467" i="31"/>
  <c r="S468" i="31"/>
  <c r="S469" i="31"/>
  <c r="S470" i="31"/>
  <c r="S471" i="31"/>
  <c r="S472" i="31"/>
  <c r="S473" i="31"/>
  <c r="S474" i="31"/>
  <c r="S475" i="31"/>
  <c r="S476" i="31"/>
  <c r="S477" i="31"/>
  <c r="S478" i="31"/>
  <c r="S479" i="31"/>
  <c r="S480" i="31"/>
  <c r="S481" i="31"/>
  <c r="S482" i="31"/>
  <c r="S483" i="31"/>
  <c r="S484" i="31"/>
  <c r="S485" i="31"/>
  <c r="S486" i="31"/>
  <c r="S487" i="31"/>
  <c r="S488" i="31"/>
  <c r="S489" i="31"/>
  <c r="S490" i="31"/>
  <c r="S491" i="31"/>
  <c r="S492" i="31"/>
  <c r="S493" i="31"/>
  <c r="S494" i="31"/>
  <c r="S495" i="31"/>
  <c r="S496" i="31"/>
  <c r="S497" i="31"/>
  <c r="S498" i="31"/>
  <c r="S499" i="31"/>
  <c r="S500" i="31"/>
  <c r="S501" i="31"/>
  <c r="S502" i="31"/>
  <c r="S503" i="31"/>
  <c r="S504" i="31"/>
  <c r="S505" i="31"/>
  <c r="S506" i="31"/>
  <c r="S507" i="31"/>
  <c r="S508" i="31"/>
  <c r="S509" i="31"/>
  <c r="S510" i="31"/>
  <c r="S511" i="31"/>
  <c r="S512" i="31"/>
  <c r="S513" i="31"/>
  <c r="S514" i="31"/>
  <c r="S515" i="31"/>
  <c r="S516" i="31"/>
  <c r="S517" i="31"/>
  <c r="S518" i="31"/>
  <c r="S519" i="31"/>
  <c r="S520" i="31"/>
  <c r="S521" i="31"/>
  <c r="S522" i="31"/>
  <c r="S523" i="31"/>
  <c r="S524" i="31"/>
  <c r="S22"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I15" i="4"/>
  <c r="H15" i="4"/>
  <c r="G15" i="4"/>
  <c r="D15" i="4"/>
  <c r="G7" i="1"/>
  <c r="L21" i="4"/>
  <c r="F19" i="4"/>
  <c r="F2" i="52"/>
  <c r="B50" i="72"/>
  <c r="D2" i="52"/>
  <c r="B46" i="72"/>
  <c r="B8" i="53"/>
  <c r="B23" i="72"/>
  <c r="L4" i="9"/>
  <c r="B17" i="72"/>
  <c r="B15" i="72"/>
  <c r="A3" i="51"/>
  <c r="C8" i="11"/>
  <c r="B2" i="49"/>
  <c r="B23" i="49"/>
  <c r="B40" i="48"/>
  <c r="B3" i="72"/>
  <c r="N1" i="43"/>
  <c r="F35" i="4"/>
  <c r="J55" i="39"/>
  <c r="H34" i="43"/>
  <c r="H35" i="43"/>
  <c r="H36" i="43"/>
  <c r="H37" i="43"/>
  <c r="H38" i="43"/>
  <c r="H39" i="43"/>
  <c r="F15" i="43"/>
  <c r="E15" i="43"/>
  <c r="D15" i="43"/>
  <c r="C15" i="43"/>
  <c r="C10" i="43"/>
  <c r="C11" i="43"/>
  <c r="C9" i="43"/>
  <c r="A7" i="43"/>
  <c r="F33" i="15"/>
  <c r="F61" i="15"/>
  <c r="M19" i="15"/>
  <c r="O10" i="1"/>
  <c r="B23" i="1"/>
  <c r="D78" i="9"/>
  <c r="F23" i="15"/>
  <c r="D24" i="15"/>
  <c r="O8" i="1"/>
  <c r="P8"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G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G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G73" i="37"/>
  <c r="D71" i="37"/>
  <c r="H15" i="37"/>
  <c r="AB15" i="37"/>
  <c r="B68" i="37"/>
  <c r="H14" i="37"/>
  <c r="AB14" i="37"/>
  <c r="B66" i="37"/>
  <c r="B64" i="37"/>
  <c r="D63" i="37"/>
  <c r="E63" i="37"/>
  <c r="F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B77" i="35"/>
  <c r="B75" i="35"/>
  <c r="J24" i="35"/>
  <c r="B73" i="35"/>
  <c r="H23" i="35"/>
  <c r="U23" i="35"/>
  <c r="B57" i="35"/>
  <c r="B61" i="35"/>
  <c r="B59" i="35"/>
  <c r="B131" i="34"/>
  <c r="B129" i="34"/>
  <c r="B127" i="34"/>
  <c r="B99" i="34"/>
  <c r="B97" i="34"/>
  <c r="B95" i="34"/>
  <c r="B93" i="34"/>
  <c r="B75" i="34"/>
  <c r="B73" i="34"/>
  <c r="B71" i="34"/>
  <c r="F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Q11" i="34"/>
  <c r="Z11" i="34"/>
  <c r="Q10" i="34"/>
  <c r="Z10" i="34"/>
  <c r="F10" i="34"/>
  <c r="AA10" i="34"/>
  <c r="Q9" i="34"/>
  <c r="Z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D85" i="33"/>
  <c r="E85" i="33"/>
  <c r="F85" i="33"/>
  <c r="G85" i="33"/>
  <c r="D81" i="33"/>
  <c r="E81" i="33"/>
  <c r="F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AA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B126" i="21"/>
  <c r="B98" i="21"/>
  <c r="H31" i="21"/>
  <c r="AB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AA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S15" i="34"/>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AB11" i="35"/>
  <c r="J10" i="36"/>
  <c r="AC10" i="36"/>
  <c r="AB30" i="21"/>
  <c r="AA14" i="37"/>
  <c r="W31" i="34"/>
  <c r="W13" i="36"/>
  <c r="W11" i="36"/>
  <c r="AB46" i="34"/>
  <c r="AA14" i="34"/>
  <c r="AB45" i="33"/>
  <c r="U31" i="33"/>
  <c r="U13" i="33"/>
  <c r="AC28" i="21"/>
  <c r="S44" i="34"/>
  <c r="F17" i="21"/>
  <c r="AA17" i="21"/>
  <c r="H17" i="21"/>
  <c r="AB17" i="21"/>
  <c r="F15" i="21"/>
  <c r="S15" i="21"/>
  <c r="AB11" i="21"/>
  <c r="J41" i="39"/>
  <c r="W41" i="39"/>
  <c r="AC45" i="39"/>
  <c r="W44" i="39"/>
  <c r="W36" i="39"/>
  <c r="W35" i="39"/>
  <c r="U36" i="39"/>
  <c r="S35" i="39"/>
  <c r="O27" i="31"/>
  <c r="O28" i="31"/>
  <c r="M27" i="31"/>
  <c r="M28" i="31"/>
  <c r="I27" i="31"/>
  <c r="Q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U11" i="33"/>
  <c r="U19" i="21"/>
  <c r="W44" i="21"/>
  <c r="U26" i="21"/>
  <c r="AC46" i="21"/>
  <c r="U12" i="21"/>
  <c r="AB38" i="21"/>
  <c r="F43" i="33"/>
  <c r="AA43" i="33"/>
  <c r="W15" i="34"/>
  <c r="AC15" i="34"/>
  <c r="W16" i="35"/>
  <c r="W40"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G101" i="39"/>
  <c r="H37" i="39"/>
  <c r="AB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N5" i="3"/>
  <c r="BP5" i="3"/>
  <c r="G29" i="6"/>
  <c r="E29" i="6"/>
  <c r="K15" i="1"/>
  <c r="BJ5" i="3"/>
  <c r="BH5" i="3"/>
  <c r="BF5" i="3"/>
  <c r="BD5" i="3"/>
  <c r="BK5" i="3"/>
  <c r="BI5" i="3"/>
  <c r="BG5" i="3"/>
  <c r="BE5" i="3"/>
  <c r="BC5" i="3"/>
  <c r="BB5" i="3"/>
  <c r="E12" i="6"/>
  <c r="E62" i="39"/>
  <c r="E8" i="6"/>
  <c r="F27" i="6"/>
  <c r="U36" i="40"/>
  <c r="N4" i="43"/>
  <c r="F81" i="43"/>
  <c r="H83" i="43"/>
  <c r="H113" i="43"/>
  <c r="N6" i="43"/>
  <c r="F48" i="43"/>
  <c r="N7" i="43"/>
  <c r="F70" i="43"/>
  <c r="H73" i="43"/>
  <c r="M11" i="43"/>
  <c r="E17" i="43"/>
  <c r="U17" i="39"/>
  <c r="S14" i="35"/>
  <c r="U43" i="21"/>
  <c r="U35" i="21"/>
  <c r="AC35" i="21"/>
  <c r="U10" i="21"/>
  <c r="G9" i="1"/>
  <c r="G10" i="1"/>
  <c r="F48" i="9"/>
  <c r="O52" i="9"/>
  <c r="AC11" i="39"/>
  <c r="W37" i="37"/>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5" i="6"/>
  <c r="E60" i="40"/>
  <c r="E13" i="6"/>
  <c r="E58" i="40"/>
  <c r="AC26" i="33"/>
  <c r="W26" i="33"/>
  <c r="W27" i="34"/>
  <c r="AC27" i="34"/>
  <c r="AC12" i="39"/>
  <c r="W12" i="39"/>
  <c r="AC39" i="40"/>
  <c r="W39" i="40"/>
  <c r="F22" i="43"/>
  <c r="B113" i="43"/>
  <c r="B115" i="43"/>
  <c r="C115" i="43"/>
  <c r="K103" i="43"/>
  <c r="F101" i="43"/>
  <c r="F104" i="43"/>
  <c r="N101" i="43"/>
  <c r="N102" i="43"/>
  <c r="E22" i="43"/>
  <c r="G105" i="43"/>
  <c r="C101" i="43"/>
  <c r="C104" i="43"/>
  <c r="J104" i="43"/>
  <c r="N104" i="46"/>
  <c r="W12" i="33"/>
  <c r="AC12" i="33"/>
  <c r="AA39" i="34"/>
  <c r="U30" i="33"/>
  <c r="AC13" i="34"/>
  <c r="AA47" i="34"/>
  <c r="W28" i="37"/>
  <c r="S19" i="39"/>
  <c r="F12" i="33"/>
  <c r="H12" i="39"/>
  <c r="AB12" i="39"/>
  <c r="F39" i="40"/>
  <c r="S12" i="1"/>
  <c r="AR12" i="1"/>
  <c r="R12" i="1"/>
  <c r="B12" i="1"/>
  <c r="E12" i="1"/>
  <c r="S10" i="1"/>
  <c r="AQ10" i="1"/>
  <c r="R10" i="1"/>
  <c r="B10" i="1"/>
  <c r="E10" i="1"/>
  <c r="O12" i="1"/>
  <c r="P12" i="1"/>
  <c r="S13" i="1"/>
  <c r="AR13" i="1"/>
  <c r="R13" i="1"/>
  <c r="S11" i="1"/>
  <c r="AQ11" i="1"/>
  <c r="R11" i="1"/>
  <c r="AR9" i="1"/>
  <c r="H100" i="43"/>
  <c r="C30" i="66"/>
  <c r="E26" i="66"/>
  <c r="AC34" i="33"/>
  <c r="AA34" i="33"/>
  <c r="D117" i="43"/>
  <c r="E117" i="43"/>
  <c r="F117" i="43"/>
  <c r="G117" i="43"/>
  <c r="H117" i="43"/>
  <c r="F53" i="9"/>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c r="F17" i="37"/>
  <c r="AA17" i="37"/>
  <c r="AB17" i="37"/>
  <c r="F75" i="37"/>
  <c r="F19" i="37"/>
  <c r="F79" i="37"/>
  <c r="F23" i="37"/>
  <c r="S23" i="37"/>
  <c r="U23" i="37"/>
  <c r="U15" i="37"/>
  <c r="AC13" i="37"/>
  <c r="U9" i="37"/>
  <c r="AA13" i="37"/>
  <c r="AA12" i="37"/>
  <c r="AA9" i="37"/>
  <c r="H10" i="37"/>
  <c r="H60"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U10" i="34"/>
  <c r="F11" i="34"/>
  <c r="S11" i="34"/>
  <c r="F70" i="34"/>
  <c r="W42" i="33"/>
  <c r="S27" i="33"/>
  <c r="S32" i="33"/>
  <c r="AA29" i="33"/>
  <c r="AB29" i="33"/>
  <c r="W38" i="33"/>
  <c r="H41" i="33"/>
  <c r="F121" i="33"/>
  <c r="G121" i="33"/>
  <c r="H121" i="33"/>
  <c r="I121" i="33"/>
  <c r="J121" i="33"/>
  <c r="K121" i="33"/>
  <c r="L121" i="33"/>
  <c r="M121" i="33"/>
  <c r="U42" i="33"/>
  <c r="S42" i="33"/>
  <c r="F36" i="33"/>
  <c r="AA36" i="33"/>
  <c r="J35" i="33"/>
  <c r="S37" i="33"/>
  <c r="AA37" i="33"/>
  <c r="S39" i="33"/>
  <c r="J32" i="33"/>
  <c r="S46" i="33"/>
  <c r="W43" i="33"/>
  <c r="S43" i="33"/>
  <c r="F91" i="33"/>
  <c r="H27" i="33"/>
  <c r="AB27" i="33"/>
  <c r="H25" i="33"/>
  <c r="AB25" i="33"/>
  <c r="F25" i="33"/>
  <c r="J23" i="33"/>
  <c r="W23" i="33"/>
  <c r="H23" i="33"/>
  <c r="U23" i="33"/>
  <c r="F19" i="33"/>
  <c r="S19" i="33"/>
  <c r="W19" i="33"/>
  <c r="J17" i="33"/>
  <c r="S15" i="33"/>
  <c r="W15" i="33"/>
  <c r="U9" i="33"/>
  <c r="I66" i="33"/>
  <c r="J10" i="33"/>
  <c r="H10" i="33"/>
  <c r="AB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121" i="9"/>
  <c r="M20" i="67"/>
  <c r="F34" i="15"/>
  <c r="F62" i="15"/>
  <c r="E10" i="6"/>
  <c r="E11" i="6"/>
  <c r="E61" i="39"/>
  <c r="E65" i="39"/>
  <c r="J56" i="9"/>
  <c r="J57" i="9"/>
  <c r="A24" i="51"/>
  <c r="B18" i="72"/>
  <c r="U29" i="34"/>
  <c r="C106" i="43"/>
  <c r="E14" i="6"/>
  <c r="E64" i="39"/>
  <c r="E5" i="6"/>
  <c r="D9" i="11"/>
  <c r="C9" i="11"/>
  <c r="J105" i="43"/>
  <c r="I115" i="43"/>
  <c r="J115" i="43"/>
  <c r="K115" i="43"/>
  <c r="L115" i="43"/>
  <c r="M115" i="43"/>
  <c r="G102" i="43"/>
  <c r="P10" i="1"/>
  <c r="H22" i="43"/>
  <c r="L101" i="43"/>
  <c r="L109" i="43"/>
  <c r="D101" i="43"/>
  <c r="M101" i="43"/>
  <c r="I101" i="43"/>
  <c r="E101" i="43"/>
  <c r="G22" i="43"/>
  <c r="D22" i="43"/>
  <c r="E32" i="6"/>
  <c r="G1" i="68"/>
  <c r="K1" i="12"/>
  <c r="F30" i="6"/>
  <c r="F31" i="6"/>
  <c r="N103" i="43"/>
  <c r="N106" i="43"/>
  <c r="J107" i="43"/>
  <c r="J103" i="43"/>
  <c r="J102" i="43"/>
  <c r="F107" i="43"/>
  <c r="F106" i="43"/>
  <c r="C107" i="43"/>
  <c r="C105" i="43"/>
  <c r="C103" i="43"/>
  <c r="K107"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06" i="43"/>
  <c r="K106" i="43"/>
  <c r="C102" i="43"/>
  <c r="F105" i="43"/>
  <c r="J106" i="43"/>
  <c r="N104" i="43"/>
  <c r="E56" i="40"/>
  <c r="AQ12" i="1"/>
  <c r="AR10" i="1"/>
  <c r="E19" i="69"/>
  <c r="E19" i="68"/>
  <c r="E19" i="11"/>
  <c r="G41" i="69"/>
  <c r="G22" i="69"/>
  <c r="G41" i="68"/>
  <c r="G22" i="68"/>
  <c r="G27" i="12"/>
  <c r="G26" i="12"/>
  <c r="G41" i="11"/>
  <c r="G22" i="11"/>
  <c r="G25" i="12"/>
  <c r="C109" i="43"/>
  <c r="C100" i="43"/>
  <c r="E11" i="43"/>
  <c r="E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N109" i="43"/>
  <c r="F100" i="43"/>
  <c r="D9" i="53"/>
  <c r="B25" i="72"/>
  <c r="B24" i="72"/>
  <c r="G6" i="1"/>
  <c r="H85" i="43"/>
  <c r="H81" i="43"/>
  <c r="H84" i="43"/>
  <c r="H88" i="43"/>
  <c r="H53" i="43"/>
  <c r="H78" i="43"/>
  <c r="H70" i="43"/>
  <c r="H71" i="43"/>
  <c r="M7" i="43"/>
  <c r="M2" i="43"/>
  <c r="M10" i="43"/>
  <c r="N3" i="43"/>
  <c r="N11" i="43"/>
  <c r="M9" i="43"/>
  <c r="N12" i="43"/>
  <c r="N5" i="43"/>
  <c r="M5" i="43"/>
  <c r="M12" i="43"/>
  <c r="M4" i="43"/>
  <c r="B19" i="53"/>
  <c r="B37" i="72"/>
  <c r="C7" i="39"/>
  <c r="C68" i="39"/>
  <c r="D68" i="39"/>
  <c r="C70" i="39"/>
  <c r="C7" i="35"/>
  <c r="C7" i="33"/>
  <c r="C58" i="33"/>
  <c r="D58" i="33"/>
  <c r="E58" i="33"/>
  <c r="F58" i="33"/>
  <c r="G58" i="33"/>
  <c r="H58" i="33"/>
  <c r="I58" i="33"/>
  <c r="J58" i="33"/>
  <c r="K58" i="33"/>
  <c r="L58" i="33"/>
  <c r="M58" i="33"/>
  <c r="N58" i="33"/>
  <c r="O58" i="33"/>
  <c r="C7" i="21"/>
  <c r="C7" i="40"/>
  <c r="C63" i="40"/>
  <c r="M47" i="9"/>
  <c r="T35" i="4"/>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6" i="43"/>
  <c r="H76" i="43"/>
  <c r="H72" i="43"/>
  <c r="H77" i="43"/>
  <c r="L20" i="6"/>
  <c r="E56" i="39"/>
  <c r="E51" i="40"/>
  <c r="B6" i="1"/>
  <c r="E6" i="1"/>
  <c r="S8" i="1"/>
  <c r="O11" i="1"/>
  <c r="P11" i="1"/>
  <c r="AP6" i="1"/>
  <c r="B9" i="1"/>
  <c r="E9" i="1"/>
  <c r="G1" i="15"/>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U31" i="21"/>
  <c r="AC15" i="21"/>
  <c r="U13" i="21"/>
  <c r="AB13" i="21"/>
  <c r="W8" i="21"/>
  <c r="S35" i="21"/>
  <c r="AB37" i="21"/>
  <c r="J37" i="21"/>
  <c r="W37" i="21"/>
  <c r="H15" i="21"/>
  <c r="U15" i="21"/>
  <c r="J17" i="21"/>
  <c r="AC17" i="21"/>
  <c r="AC19" i="21"/>
  <c r="W39" i="21"/>
  <c r="AC14" i="21"/>
  <c r="W30" i="21"/>
  <c r="S46" i="21"/>
  <c r="H45" i="21"/>
  <c r="U45" i="21"/>
  <c r="F29" i="21"/>
  <c r="S29" i="21"/>
  <c r="F13" i="21"/>
  <c r="AC38" i="21"/>
  <c r="H32" i="21"/>
  <c r="H9" i="21"/>
  <c r="J9" i="21"/>
  <c r="J32" i="21"/>
  <c r="F32" i="21"/>
  <c r="AA31" i="21"/>
  <c r="U17" i="21"/>
  <c r="W29" i="21"/>
  <c r="S19" i="21"/>
  <c r="S9" i="21"/>
  <c r="K141" i="21"/>
  <c r="K143" i="21"/>
  <c r="U27" i="21"/>
  <c r="AB25" i="21"/>
  <c r="AB44" i="21"/>
  <c r="AA30" i="21"/>
  <c r="W13" i="21"/>
  <c r="W42" i="21"/>
  <c r="F10"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6" i="49"/>
  <c r="E4" i="4"/>
  <c r="B9" i="49"/>
  <c r="B13" i="49"/>
  <c r="E16" i="49"/>
  <c r="B11" i="49"/>
  <c r="E8" i="49"/>
  <c r="E21" i="49"/>
  <c r="E10" i="49"/>
  <c r="E9" i="49"/>
  <c r="E5" i="49"/>
  <c r="B4" i="49"/>
  <c r="C4" i="4"/>
  <c r="K4" i="4"/>
  <c r="B46" i="48"/>
  <c r="B4" i="72"/>
  <c r="B8" i="49"/>
  <c r="E4" i="49"/>
  <c r="E11" i="49"/>
  <c r="AQ13" i="1"/>
  <c r="O6" i="1"/>
  <c r="P6" i="1"/>
  <c r="F30" i="68"/>
  <c r="C30" i="68"/>
  <c r="F30" i="11"/>
  <c r="C48" i="11"/>
  <c r="F31" i="12"/>
  <c r="F52" i="9"/>
  <c r="C31" i="12"/>
  <c r="M18" i="67"/>
  <c r="F60" i="67"/>
  <c r="F32" i="15"/>
  <c r="F60" i="15"/>
  <c r="M18" i="15"/>
  <c r="F28" i="15"/>
  <c r="E63" i="39"/>
  <c r="T11" i="1"/>
  <c r="D19" i="12"/>
  <c r="C19" i="12"/>
  <c r="AQ9" i="1"/>
  <c r="AR11" i="1"/>
  <c r="E59" i="40"/>
  <c r="D70" i="39"/>
  <c r="C28" i="15"/>
  <c r="T9" i="1"/>
  <c r="T13" i="1"/>
  <c r="E16" i="6"/>
  <c r="C48" i="68"/>
  <c r="C77" i="9"/>
  <c r="C74" i="9"/>
  <c r="D9" i="68"/>
  <c r="C9" i="68"/>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U9" i="35"/>
  <c r="AB9" i="35"/>
  <c r="AA9" i="35"/>
  <c r="S9" i="35"/>
  <c r="AC17" i="37"/>
  <c r="S17" i="37"/>
  <c r="J19" i="37"/>
  <c r="G75" i="37"/>
  <c r="S19" i="37"/>
  <c r="AA19" i="37"/>
  <c r="AA23" i="37"/>
  <c r="J23" i="37"/>
  <c r="G79" i="37"/>
  <c r="J10" i="37"/>
  <c r="I60" i="37"/>
  <c r="G63" i="37"/>
  <c r="H11" i="37"/>
  <c r="AB10" i="37"/>
  <c r="U10" i="37"/>
  <c r="G70" i="34"/>
  <c r="H11" i="34"/>
  <c r="AB10" i="34"/>
  <c r="J10" i="34"/>
  <c r="I67" i="34"/>
  <c r="AB41" i="33"/>
  <c r="U41" i="33"/>
  <c r="W35" i="33"/>
  <c r="AC35" i="33"/>
  <c r="H111" i="33"/>
  <c r="I111" i="33"/>
  <c r="J111" i="33"/>
  <c r="K111" i="33"/>
  <c r="L111" i="33"/>
  <c r="M111" i="33"/>
  <c r="J36" i="33"/>
  <c r="H36" i="33"/>
  <c r="S36" i="33"/>
  <c r="AC32" i="33"/>
  <c r="W32" i="33"/>
  <c r="U27" i="33"/>
  <c r="G91" i="33"/>
  <c r="H91" i="33"/>
  <c r="I91" i="33"/>
  <c r="J91" i="33"/>
  <c r="K91" i="33"/>
  <c r="L91" i="33"/>
  <c r="M91" i="33"/>
  <c r="J27" i="33"/>
  <c r="U25" i="33"/>
  <c r="S25" i="33"/>
  <c r="AA25" i="33"/>
  <c r="G87" i="33"/>
  <c r="H87" i="33"/>
  <c r="I87" i="33"/>
  <c r="J87" i="33"/>
  <c r="K87" i="33"/>
  <c r="L87" i="33"/>
  <c r="M87" i="33"/>
  <c r="J25" i="33"/>
  <c r="AB23" i="33"/>
  <c r="F23" i="33"/>
  <c r="AC23" i="33"/>
  <c r="AA19" i="33"/>
  <c r="H19" i="33"/>
  <c r="G81" i="33"/>
  <c r="H17" i="33"/>
  <c r="F17" i="33"/>
  <c r="W17" i="33"/>
  <c r="AC17" i="33"/>
  <c r="U10" i="33"/>
  <c r="AC10" i="33"/>
  <c r="W10" i="33"/>
  <c r="AC37" i="21"/>
  <c r="U33" i="21"/>
  <c r="S37" i="21"/>
  <c r="AA23" i="21"/>
  <c r="AB15" i="21"/>
  <c r="J23" i="21"/>
  <c r="F85" i="21"/>
  <c r="G85" i="21"/>
  <c r="H23" i="21"/>
  <c r="D6" i="52"/>
  <c r="D7" i="52"/>
  <c r="S6" i="43"/>
  <c r="S7" i="43"/>
  <c r="J22" i="43"/>
  <c r="O14" i="1"/>
  <c r="P14" i="1"/>
  <c r="J59" i="9"/>
  <c r="J61" i="9"/>
  <c r="E104" i="43"/>
  <c r="E107" i="43"/>
  <c r="E105" i="43"/>
  <c r="M104" i="43"/>
  <c r="M107" i="43"/>
  <c r="M105" i="43"/>
  <c r="H102" i="43"/>
  <c r="H107" i="43"/>
  <c r="H103" i="43"/>
  <c r="H106" i="43"/>
  <c r="H104" i="43"/>
  <c r="H105" i="43"/>
  <c r="E109" i="43"/>
  <c r="I102" i="43"/>
  <c r="I106" i="43"/>
  <c r="I103" i="43"/>
  <c r="D103" i="43"/>
  <c r="D104" i="43"/>
  <c r="D107" i="43"/>
  <c r="L102" i="43"/>
  <c r="L106" i="43"/>
  <c r="L105" i="43"/>
  <c r="L107" i="43"/>
  <c r="L104" i="43"/>
  <c r="L103" i="43"/>
  <c r="AR8" i="1"/>
  <c r="AQ8" i="1"/>
  <c r="T8" i="1"/>
  <c r="AQ7" i="1"/>
  <c r="R22" i="31"/>
  <c r="B21" i="31"/>
  <c r="O19" i="43"/>
  <c r="E52" i="37"/>
  <c r="F52" i="37"/>
  <c r="G52" i="37"/>
  <c r="F46" i="36"/>
  <c r="G46" i="36"/>
  <c r="E58" i="21"/>
  <c r="F58" i="21"/>
  <c r="E48" i="35"/>
  <c r="F48" i="35"/>
  <c r="E59" i="34"/>
  <c r="F59" i="34"/>
  <c r="C65" i="40"/>
  <c r="D63" i="40"/>
  <c r="B5" i="62"/>
  <c r="B73" i="72"/>
  <c r="B4" i="62"/>
  <c r="B71" i="72"/>
  <c r="L27" i="6"/>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T7" i="1"/>
  <c r="AR7" i="1"/>
  <c r="C30" i="11"/>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O16" i="1"/>
  <c r="F1" i="15"/>
  <c r="Q52" i="15"/>
  <c r="G59" i="34"/>
  <c r="H59" i="34"/>
  <c r="I59" i="34"/>
  <c r="E63" i="40"/>
  <c r="D65" i="40"/>
  <c r="E68" i="39"/>
  <c r="F68" i="39"/>
  <c r="G68" i="39"/>
  <c r="H68" i="39"/>
  <c r="I68" i="39"/>
  <c r="J68" i="39"/>
  <c r="K68" i="39"/>
  <c r="L68" i="39"/>
  <c r="M68" i="39"/>
  <c r="N68" i="39"/>
  <c r="O68" i="39"/>
  <c r="C5" i="68"/>
  <c r="AC11" i="37"/>
  <c r="W11" i="37"/>
  <c r="W11" i="34"/>
  <c r="AC11" i="34"/>
  <c r="R7" i="1"/>
  <c r="C13" i="12"/>
  <c r="P16" i="1"/>
  <c r="C11" i="12"/>
  <c r="F34" i="11"/>
  <c r="F11" i="12"/>
  <c r="F34" i="68"/>
  <c r="C36" i="68"/>
  <c r="F63" i="40"/>
  <c r="E65" i="40"/>
  <c r="E70" i="39"/>
  <c r="F70" i="39"/>
  <c r="C36" i="11"/>
  <c r="R8" i="1"/>
  <c r="C12" i="12"/>
  <c r="C15" i="12"/>
  <c r="G63" i="40"/>
  <c r="F65" i="40"/>
  <c r="G70" i="39"/>
  <c r="C23" i="12"/>
  <c r="H63" i="40"/>
  <c r="G65" i="40"/>
  <c r="H70" i="39"/>
  <c r="I63" i="40"/>
  <c r="J63" i="40"/>
  <c r="H65" i="40"/>
  <c r="I70" i="39"/>
  <c r="I65" i="40"/>
  <c r="J70" i="39"/>
  <c r="K70" i="39"/>
  <c r="L70" i="39"/>
  <c r="M70" i="39"/>
  <c r="O70" i="39"/>
  <c r="N70" i="39"/>
  <c r="AE7" i="1"/>
  <c r="AE8" i="1"/>
  <c r="H109" i="9"/>
  <c r="M49" i="9"/>
  <c r="L68" i="9"/>
  <c r="M68" i="9"/>
  <c r="H110" i="9"/>
  <c r="D18" i="53"/>
  <c r="B35" i="72"/>
  <c r="D124" i="9"/>
  <c r="H14" i="74"/>
  <c r="B7" i="74"/>
  <c r="D16" i="53"/>
  <c r="B34" i="72"/>
  <c r="D10" i="52"/>
  <c r="D17" i="53"/>
  <c r="B36" i="72"/>
  <c r="D125" i="9"/>
  <c r="D11" i="52"/>
  <c r="J7" i="33"/>
  <c r="W7" i="33"/>
  <c r="F7" i="33"/>
  <c r="S7" i="33"/>
  <c r="H7" i="33"/>
  <c r="U7" i="33"/>
  <c r="AA7" i="33"/>
  <c r="R48" i="33"/>
  <c r="J7" i="39"/>
  <c r="AC7" i="39"/>
  <c r="V47" i="39"/>
  <c r="I47" i="39"/>
  <c r="F7" i="39"/>
  <c r="S7" i="39"/>
  <c r="H7" i="39"/>
  <c r="AB7" i="39"/>
  <c r="T47" i="39"/>
  <c r="G47" i="39"/>
  <c r="W7" i="39"/>
  <c r="AA7" i="39"/>
  <c r="R47" i="39"/>
  <c r="H112" i="9"/>
  <c r="D21" i="53"/>
  <c r="B39" i="72"/>
  <c r="H111" i="9"/>
  <c r="D126" i="9"/>
  <c r="I14" i="74"/>
  <c r="B8" i="74"/>
  <c r="D19" i="53"/>
  <c r="D59" i="9"/>
  <c r="M55" i="9"/>
  <c r="B38" i="72"/>
  <c r="D20" i="53"/>
  <c r="B40" i="72"/>
  <c r="P21" i="43"/>
  <c r="P22" i="43"/>
  <c r="P23" i="43"/>
  <c r="B71" i="39"/>
  <c r="P24" i="43"/>
  <c r="B66" i="40"/>
  <c r="P25" i="43"/>
  <c r="F37" i="67"/>
  <c r="M8" i="67"/>
  <c r="F41" i="67"/>
  <c r="M23" i="67"/>
  <c r="C36" i="69"/>
  <c r="E2" i="78"/>
  <c r="E13" i="76"/>
  <c r="B7" i="76"/>
  <c r="F3" i="73"/>
  <c r="D3" i="73"/>
  <c r="E8" i="76"/>
  <c r="AO11" i="1"/>
  <c r="M22" i="15"/>
  <c r="F36" i="15"/>
  <c r="F26" i="15"/>
  <c r="F38" i="15"/>
  <c r="F13" i="15"/>
  <c r="F9" i="15"/>
  <c r="F16" i="15"/>
  <c r="AO7" i="1"/>
  <c r="E2" i="68"/>
  <c r="M27" i="15"/>
  <c r="D2" i="34"/>
  <c r="C76" i="15"/>
  <c r="M26" i="15"/>
  <c r="L47" i="67"/>
  <c r="D2" i="33"/>
  <c r="AO8" i="1"/>
  <c r="F8" i="67"/>
  <c r="F38" i="67"/>
  <c r="M9" i="67"/>
  <c r="M6" i="67"/>
  <c r="M24" i="67"/>
  <c r="F6" i="67"/>
  <c r="E7" i="76"/>
  <c r="B8" i="76"/>
  <c r="F7" i="73"/>
  <c r="E10" i="76"/>
  <c r="D7" i="73"/>
  <c r="E12" i="76"/>
  <c r="AO10" i="1"/>
  <c r="F42" i="15"/>
  <c r="M9" i="15"/>
  <c r="F7" i="15"/>
  <c r="M23" i="15"/>
  <c r="D2" i="36"/>
  <c r="D2" i="21"/>
  <c r="M29" i="15"/>
  <c r="F36" i="67"/>
  <c r="F42" i="67"/>
  <c r="M26" i="67"/>
  <c r="M22" i="67"/>
  <c r="M28" i="67"/>
  <c r="D9" i="69"/>
  <c r="E9" i="76"/>
  <c r="B11" i="76"/>
  <c r="F5" i="73"/>
  <c r="B12" i="76"/>
  <c r="AO13" i="1"/>
  <c r="B10" i="76"/>
  <c r="C76" i="67"/>
  <c r="M28" i="15"/>
  <c r="M8" i="15"/>
  <c r="F43" i="15"/>
  <c r="L47" i="15"/>
  <c r="M24" i="15"/>
  <c r="F40" i="15"/>
  <c r="F35" i="15"/>
  <c r="F20" i="31"/>
  <c r="M21" i="15"/>
  <c r="D2" i="37"/>
  <c r="D35" i="9"/>
  <c r="F6" i="15"/>
  <c r="F37" i="15"/>
  <c r="F41" i="15"/>
  <c r="C14" i="15"/>
  <c r="D2" i="35"/>
  <c r="F13" i="67"/>
  <c r="L48" i="67"/>
  <c r="F40" i="67"/>
  <c r="J15" i="67"/>
  <c r="F27" i="69"/>
  <c r="F4" i="73"/>
  <c r="E11" i="76"/>
  <c r="B13" i="76"/>
  <c r="F6" i="73"/>
  <c r="B9" i="76"/>
  <c r="AO12" i="1"/>
  <c r="D6" i="73"/>
  <c r="M6" i="15"/>
  <c r="J15" i="15"/>
  <c r="L48" i="15"/>
  <c r="F8" i="15"/>
  <c r="D34" i="9"/>
  <c r="D5" i="82"/>
  <c r="D6" i="82"/>
  <c r="B8" i="70"/>
  <c r="C18" i="15"/>
  <c r="C15" i="15"/>
  <c r="J20" i="15"/>
  <c r="B20" i="31"/>
  <c r="B7" i="70"/>
  <c r="F69" i="15"/>
  <c r="F63" i="15"/>
  <c r="C62" i="15"/>
  <c r="C34" i="15"/>
  <c r="L58" i="67"/>
  <c r="L59" i="67"/>
  <c r="N59" i="67"/>
  <c r="M59" i="67"/>
  <c r="F68" i="15"/>
  <c r="F65" i="15"/>
  <c r="F51" i="15"/>
  <c r="M59" i="15"/>
  <c r="N59" i="15"/>
  <c r="L59" i="15"/>
  <c r="L58" i="15"/>
  <c r="C6" i="15"/>
  <c r="F66" i="15"/>
  <c r="M7" i="15"/>
  <c r="J6" i="15"/>
  <c r="F50" i="15"/>
  <c r="F71" i="15"/>
  <c r="L56" i="15"/>
  <c r="I54" i="15"/>
  <c r="J57" i="15"/>
  <c r="J55" i="15"/>
  <c r="J58" i="15"/>
  <c r="Q50" i="15"/>
  <c r="J60" i="15"/>
  <c r="Q48" i="15"/>
  <c r="J59" i="15"/>
  <c r="C27" i="15"/>
  <c r="Q71" i="15"/>
  <c r="F64" i="15"/>
  <c r="Q71" i="67"/>
  <c r="B10" i="70"/>
  <c r="B11" i="70"/>
  <c r="B12" i="70"/>
  <c r="B13" i="70"/>
  <c r="I1" i="73"/>
  <c r="B39" i="1"/>
  <c r="C9" i="69"/>
  <c r="F69" i="67"/>
  <c r="F68" i="67"/>
  <c r="I54" i="67"/>
  <c r="L56" i="67"/>
  <c r="L57" i="67"/>
  <c r="L60" i="67"/>
  <c r="F70" i="67"/>
  <c r="F66" i="67"/>
  <c r="F65" i="67"/>
  <c r="F64" i="67"/>
  <c r="F51" i="67"/>
  <c r="E47" i="39"/>
  <c r="I52" i="39"/>
  <c r="J52" i="39"/>
  <c r="R48" i="39"/>
  <c r="I51" i="39"/>
  <c r="J51" i="39"/>
  <c r="R49" i="33"/>
  <c r="E48" i="33"/>
  <c r="G52" i="39"/>
  <c r="H52" i="39"/>
  <c r="G51" i="39"/>
  <c r="H51" i="39"/>
  <c r="K63" i="40"/>
  <c r="J65" i="40"/>
  <c r="D12" i="52"/>
  <c r="D127" i="9"/>
  <c r="D13" i="52"/>
  <c r="U7" i="39"/>
  <c r="AC7" i="33"/>
  <c r="V48" i="33"/>
  <c r="I48" i="33"/>
  <c r="AB7" i="33"/>
  <c r="T48" i="33"/>
  <c r="G48" i="33"/>
  <c r="L67" i="9"/>
  <c r="M67" i="9"/>
  <c r="L63" i="9"/>
  <c r="M63" i="9"/>
  <c r="M69" i="9"/>
  <c r="N69" i="9"/>
  <c r="L64" i="9"/>
  <c r="M64" i="9"/>
  <c r="L66" i="9"/>
  <c r="M66" i="9"/>
  <c r="L65" i="9"/>
  <c r="M65" i="9"/>
  <c r="G48" i="35"/>
  <c r="H48" i="35"/>
  <c r="I48" i="35"/>
  <c r="J48" i="35"/>
  <c r="K48" i="35"/>
  <c r="L48" i="35"/>
  <c r="M48" i="35"/>
  <c r="N48" i="35"/>
  <c r="O48" i="35"/>
  <c r="J7" i="35"/>
  <c r="H7" i="35"/>
  <c r="F7" i="35"/>
  <c r="H46" i="36"/>
  <c r="I46" i="36"/>
  <c r="J46" i="36"/>
  <c r="K46" i="36"/>
  <c r="L46" i="36"/>
  <c r="M46" i="36"/>
  <c r="N46" i="36"/>
  <c r="O46" i="36"/>
  <c r="J59" i="34"/>
  <c r="G58" i="21"/>
  <c r="H52" i="37"/>
  <c r="I52" i="37"/>
  <c r="J52" i="37"/>
  <c r="K52" i="37"/>
  <c r="L52" i="37"/>
  <c r="M52" i="37"/>
  <c r="N52" i="37"/>
  <c r="O52" i="37"/>
  <c r="F7" i="37"/>
  <c r="J7" i="37"/>
  <c r="G115" i="43"/>
  <c r="H115" i="43"/>
  <c r="D113" i="43"/>
  <c r="E66" i="39"/>
  <c r="I104" i="43"/>
  <c r="I107" i="43"/>
  <c r="I105" i="43"/>
  <c r="D105" i="43"/>
  <c r="D106" i="43"/>
  <c r="D102" i="43"/>
  <c r="H52" i="43"/>
  <c r="H49" i="43"/>
  <c r="H50" i="43"/>
  <c r="H48" i="43"/>
  <c r="H54" i="43"/>
  <c r="H51" i="43"/>
  <c r="W45" i="21"/>
  <c r="AC45" i="21"/>
  <c r="AC9" i="34"/>
  <c r="W9" i="34"/>
  <c r="AC24" i="35"/>
  <c r="W24" i="35"/>
  <c r="AC34" i="35"/>
  <c r="W34" i="35"/>
  <c r="AB36" i="35"/>
  <c r="U36" i="35"/>
  <c r="AA32" i="36"/>
  <c r="S32" i="36"/>
  <c r="W43" i="39"/>
  <c r="AC43" i="39"/>
  <c r="AB45" i="39"/>
  <c r="U45" i="39"/>
  <c r="AC37" i="39"/>
  <c r="W37" i="39"/>
  <c r="AC31" i="40"/>
  <c r="W31" i="40"/>
  <c r="E10" i="43"/>
  <c r="E8" i="43"/>
  <c r="M109" i="43"/>
  <c r="I109" i="43"/>
  <c r="D43" i="71"/>
  <c r="T43" i="71"/>
  <c r="D35" i="71"/>
  <c r="T35" i="71"/>
  <c r="AA13" i="21"/>
  <c r="S13" i="21"/>
  <c r="E102" i="43"/>
  <c r="E106" i="43"/>
  <c r="E103" i="43"/>
  <c r="M102" i="43"/>
  <c r="M106" i="43"/>
  <c r="M103" i="43"/>
  <c r="S12" i="34"/>
  <c r="AA12" i="34"/>
  <c r="AB34" i="36"/>
  <c r="U34" i="36"/>
  <c r="AB33" i="36"/>
  <c r="U33" i="36"/>
  <c r="U25" i="37"/>
  <c r="AB25" i="37"/>
  <c r="U44" i="39"/>
  <c r="AB44" i="39"/>
  <c r="W33" i="40"/>
  <c r="AC33" i="40"/>
  <c r="H26" i="35"/>
  <c r="F26" i="35"/>
  <c r="J26" i="35"/>
  <c r="A19" i="51"/>
  <c r="B14" i="72"/>
  <c r="K144" i="21"/>
  <c r="K145" i="21"/>
  <c r="D109" i="43"/>
  <c r="I21" i="66"/>
  <c r="D1" i="66"/>
  <c r="E10" i="66"/>
  <c r="D49" i="71"/>
  <c r="O49" i="71"/>
  <c r="O48" i="71"/>
  <c r="D39" i="71"/>
  <c r="T39" i="71"/>
  <c r="C27" i="71"/>
  <c r="D26" i="71"/>
  <c r="K120" i="9"/>
  <c r="T10" i="1"/>
  <c r="T12" i="1"/>
  <c r="N107" i="43"/>
  <c r="F103" i="43"/>
  <c r="K105" i="43"/>
  <c r="K102" i="43"/>
  <c r="F102" i="43"/>
  <c r="N105" i="43"/>
  <c r="AA35" i="33"/>
  <c r="AC39" i="34"/>
  <c r="U44" i="34"/>
  <c r="AB27" i="36"/>
  <c r="AA27" i="40"/>
  <c r="AB27" i="40"/>
  <c r="H75" i="43"/>
  <c r="S15" i="37"/>
  <c r="W44" i="33"/>
  <c r="W29" i="33"/>
  <c r="S45" i="33"/>
  <c r="AC30" i="34"/>
  <c r="W11" i="35"/>
  <c r="S11" i="36"/>
  <c r="AB26" i="33"/>
  <c r="AB11" i="36"/>
  <c r="AA14" i="33"/>
  <c r="AA44" i="33"/>
  <c r="S41" i="33"/>
  <c r="H9" i="34"/>
  <c r="F34" i="35"/>
  <c r="H34" i="35"/>
  <c r="J36" i="35"/>
  <c r="P24" i="77"/>
  <c r="P22" i="77"/>
  <c r="P25" i="77"/>
  <c r="M100" i="43"/>
  <c r="I100" i="43"/>
  <c r="E100" i="43"/>
  <c r="D100" i="43"/>
  <c r="C40" i="68"/>
  <c r="S18" i="35"/>
  <c r="S29" i="39"/>
  <c r="D50" i="71"/>
  <c r="C70" i="71"/>
  <c r="E62" i="71"/>
  <c r="E61" i="71"/>
  <c r="E54" i="71"/>
  <c r="E53" i="71"/>
  <c r="Q48" i="71"/>
  <c r="D29" i="71"/>
  <c r="S51" i="71"/>
  <c r="B50" i="71"/>
  <c r="K56" i="9"/>
  <c r="E11" i="77"/>
  <c r="E9" i="77"/>
  <c r="E8" i="77"/>
  <c r="C29" i="69"/>
  <c r="D27" i="69"/>
  <c r="J53" i="67"/>
  <c r="J60" i="67"/>
  <c r="Q48" i="67"/>
  <c r="J57" i="67"/>
  <c r="J55" i="67"/>
  <c r="J58" i="67"/>
  <c r="Q50" i="67"/>
  <c r="J59" i="67"/>
  <c r="F62" i="80"/>
  <c r="G5" i="3"/>
  <c r="B3" i="3"/>
  <c r="C23" i="71"/>
  <c r="C19" i="71"/>
  <c r="C15" i="71"/>
  <c r="D10" i="71"/>
  <c r="D6" i="71"/>
  <c r="P21" i="77"/>
  <c r="P23" i="77"/>
  <c r="H52" i="77"/>
  <c r="B54" i="77"/>
  <c r="B55" i="77"/>
  <c r="B63" i="77"/>
  <c r="B66" i="77"/>
  <c r="H81" i="77"/>
  <c r="H82" i="77"/>
  <c r="H84" i="77"/>
  <c r="H85" i="77"/>
  <c r="H86" i="77"/>
  <c r="H87" i="77"/>
  <c r="C100" i="77"/>
  <c r="E100" i="77"/>
  <c r="G100" i="77"/>
  <c r="I100" i="77"/>
  <c r="K100" i="77"/>
  <c r="M100" i="77"/>
  <c r="G3" i="77"/>
  <c r="C40" i="69"/>
  <c r="C47" i="69"/>
  <c r="D45" i="69"/>
  <c r="E48" i="43"/>
  <c r="B46" i="43"/>
  <c r="C24" i="43"/>
  <c r="C17" i="43"/>
  <c r="F34" i="67"/>
  <c r="C23" i="43"/>
  <c r="C21" i="43"/>
  <c r="S3" i="43"/>
  <c r="S4" i="43"/>
  <c r="G17" i="43"/>
  <c r="H17" i="43"/>
  <c r="J17" i="43"/>
  <c r="I17" i="43"/>
  <c r="BL350" i="3"/>
  <c r="AZ350" i="3"/>
  <c r="BL348" i="3"/>
  <c r="AZ348" i="3"/>
  <c r="BL346" i="3"/>
  <c r="AZ346" i="3"/>
  <c r="BL344" i="3"/>
  <c r="AZ344" i="3"/>
  <c r="BL342" i="3"/>
  <c r="AZ342" i="3"/>
  <c r="BL340" i="3"/>
  <c r="AZ340" i="3"/>
  <c r="BL338" i="3"/>
  <c r="AZ338" i="3"/>
  <c r="BL336" i="3"/>
  <c r="AZ336" i="3"/>
  <c r="BL334" i="3"/>
  <c r="AZ334" i="3"/>
  <c r="BL332" i="3"/>
  <c r="AZ332" i="3"/>
  <c r="BL330" i="3"/>
  <c r="AZ330" i="3"/>
  <c r="BL328" i="3"/>
  <c r="AZ328" i="3"/>
  <c r="BL326" i="3"/>
  <c r="AZ326" i="3"/>
  <c r="BL324" i="3"/>
  <c r="AZ324" i="3"/>
  <c r="BL322" i="3"/>
  <c r="AZ322" i="3"/>
  <c r="BL320" i="3"/>
  <c r="AZ320" i="3"/>
  <c r="BL318" i="3"/>
  <c r="AZ318" i="3"/>
  <c r="BL316" i="3"/>
  <c r="AZ316" i="3"/>
  <c r="BL314" i="3"/>
  <c r="AZ314" i="3"/>
  <c r="BL312" i="3"/>
  <c r="BL310" i="3"/>
  <c r="BL308" i="3"/>
  <c r="BL306" i="3"/>
  <c r="BL304" i="3"/>
  <c r="BL302" i="3"/>
  <c r="BL300" i="3"/>
  <c r="BL298" i="3"/>
  <c r="BL296" i="3"/>
  <c r="BL294" i="3"/>
  <c r="BL292" i="3"/>
  <c r="BL290" i="3"/>
  <c r="BL288" i="3"/>
  <c r="BL286" i="3"/>
  <c r="BL284" i="3"/>
  <c r="BL282" i="3"/>
  <c r="BL280" i="3"/>
  <c r="BL278" i="3"/>
  <c r="BL276" i="3"/>
  <c r="BL274" i="3"/>
  <c r="BL272" i="3"/>
  <c r="BL270" i="3"/>
  <c r="BL268" i="3"/>
  <c r="BL266" i="3"/>
  <c r="BL351" i="3"/>
  <c r="AZ351" i="3"/>
  <c r="BL349" i="3"/>
  <c r="AZ349" i="3"/>
  <c r="BL347" i="3"/>
  <c r="AZ347" i="3"/>
  <c r="BL345" i="3"/>
  <c r="AZ345" i="3"/>
  <c r="BL343" i="3"/>
  <c r="AZ343" i="3"/>
  <c r="BL341" i="3"/>
  <c r="AZ341" i="3"/>
  <c r="BL339" i="3"/>
  <c r="AZ339" i="3"/>
  <c r="BL337" i="3"/>
  <c r="AZ337" i="3"/>
  <c r="BL335" i="3"/>
  <c r="AZ335" i="3"/>
  <c r="BL333" i="3"/>
  <c r="AZ333" i="3"/>
  <c r="BL331" i="3"/>
  <c r="AZ331" i="3"/>
  <c r="BL329" i="3"/>
  <c r="AZ329" i="3"/>
  <c r="BL327" i="3"/>
  <c r="AZ327" i="3"/>
  <c r="BL325" i="3"/>
  <c r="AZ325" i="3"/>
  <c r="BL323" i="3"/>
  <c r="AZ323" i="3"/>
  <c r="BL321" i="3"/>
  <c r="AZ321" i="3"/>
  <c r="BL319" i="3"/>
  <c r="AZ319" i="3"/>
  <c r="BL317" i="3"/>
  <c r="AZ317" i="3"/>
  <c r="BL315" i="3"/>
  <c r="AZ315" i="3"/>
  <c r="BL313" i="3"/>
  <c r="AZ313" i="3"/>
  <c r="BL311" i="3"/>
  <c r="AZ311" i="3"/>
  <c r="BL309" i="3"/>
  <c r="AZ309" i="3"/>
  <c r="BL307" i="3"/>
  <c r="AZ307" i="3"/>
  <c r="BL305" i="3"/>
  <c r="AZ305" i="3"/>
  <c r="BL303" i="3"/>
  <c r="AZ303" i="3"/>
  <c r="BL301" i="3"/>
  <c r="AZ301" i="3"/>
  <c r="BL299" i="3"/>
  <c r="AZ299" i="3"/>
  <c r="BL297" i="3"/>
  <c r="AZ297" i="3"/>
  <c r="BL295" i="3"/>
  <c r="AZ295" i="3"/>
  <c r="BL293" i="3"/>
  <c r="AZ293" i="3"/>
  <c r="BL291" i="3"/>
  <c r="AZ291" i="3"/>
  <c r="BL289" i="3"/>
  <c r="AZ289" i="3"/>
  <c r="BL287" i="3"/>
  <c r="AZ287" i="3"/>
  <c r="BL285" i="3"/>
  <c r="AZ285" i="3"/>
  <c r="BL283" i="3"/>
  <c r="AZ283" i="3"/>
  <c r="BL281" i="3"/>
  <c r="AZ281" i="3"/>
  <c r="BL279" i="3"/>
  <c r="AZ279" i="3"/>
  <c r="BL277" i="3"/>
  <c r="AZ277" i="3"/>
  <c r="BL275" i="3"/>
  <c r="AZ275" i="3"/>
  <c r="BL273" i="3"/>
  <c r="AZ273" i="3"/>
  <c r="BL271" i="3"/>
  <c r="AZ271" i="3"/>
  <c r="BL269" i="3"/>
  <c r="AZ269" i="3"/>
  <c r="BL267" i="3"/>
  <c r="AZ267" i="3"/>
  <c r="BL265" i="3"/>
  <c r="AZ265" i="3"/>
  <c r="BL128" i="3"/>
  <c r="AZ128" i="3"/>
  <c r="BL126" i="3"/>
  <c r="AZ126" i="3"/>
  <c r="BL124" i="3"/>
  <c r="AZ124" i="3"/>
  <c r="BL122" i="3"/>
  <c r="AZ122" i="3"/>
  <c r="BL120" i="3"/>
  <c r="AZ120" i="3"/>
  <c r="BL118" i="3"/>
  <c r="AZ118" i="3"/>
  <c r="BL116" i="3"/>
  <c r="AZ116" i="3"/>
  <c r="BL114" i="3"/>
  <c r="AZ114" i="3"/>
  <c r="BL112" i="3"/>
  <c r="AZ112" i="3"/>
  <c r="BL110" i="3"/>
  <c r="AZ110" i="3"/>
  <c r="BL108" i="3"/>
  <c r="AZ108" i="3"/>
  <c r="BL106" i="3"/>
  <c r="AZ106" i="3"/>
  <c r="BL104" i="3"/>
  <c r="AZ104" i="3"/>
  <c r="BL102" i="3"/>
  <c r="AZ102" i="3"/>
  <c r="BL100" i="3"/>
  <c r="AZ100" i="3"/>
  <c r="BL98" i="3"/>
  <c r="AZ98" i="3"/>
  <c r="BL96" i="3"/>
  <c r="AZ96" i="3"/>
  <c r="BL94" i="3"/>
  <c r="AZ94" i="3"/>
  <c r="BL92" i="3"/>
  <c r="AZ92" i="3"/>
  <c r="BL90" i="3"/>
  <c r="AZ90" i="3"/>
  <c r="BL88" i="3"/>
  <c r="AZ88" i="3"/>
  <c r="BL86" i="3"/>
  <c r="AZ86" i="3"/>
  <c r="BL84" i="3"/>
  <c r="AZ84" i="3"/>
  <c r="BL82" i="3"/>
  <c r="AZ82" i="3"/>
  <c r="BL80" i="3"/>
  <c r="AZ80" i="3"/>
  <c r="BL78" i="3"/>
  <c r="AZ78" i="3"/>
  <c r="BL76" i="3"/>
  <c r="AZ76" i="3"/>
  <c r="BL74" i="3"/>
  <c r="AZ74" i="3"/>
  <c r="BL72" i="3"/>
  <c r="AZ72" i="3"/>
  <c r="BL70" i="3"/>
  <c r="AZ70" i="3"/>
  <c r="BL68" i="3"/>
  <c r="AZ68" i="3"/>
  <c r="BL66" i="3"/>
  <c r="AZ66" i="3"/>
  <c r="BL64" i="3"/>
  <c r="AZ64" i="3"/>
  <c r="BL62" i="3"/>
  <c r="AZ62" i="3"/>
  <c r="BL60" i="3"/>
  <c r="AZ60" i="3"/>
  <c r="BL58" i="3"/>
  <c r="AZ58" i="3"/>
  <c r="BL56" i="3"/>
  <c r="AZ56" i="3"/>
  <c r="BL54" i="3"/>
  <c r="AZ54" i="3"/>
  <c r="BL52" i="3"/>
  <c r="AZ52" i="3"/>
  <c r="BL50" i="3"/>
  <c r="AZ50" i="3"/>
  <c r="BL48" i="3"/>
  <c r="AZ48" i="3"/>
  <c r="BL46" i="3"/>
  <c r="AZ46" i="3"/>
  <c r="BL44" i="3"/>
  <c r="AZ44" i="3"/>
  <c r="BL42" i="3"/>
  <c r="AZ42" i="3"/>
  <c r="BL40" i="3"/>
  <c r="AZ40" i="3"/>
  <c r="BL38" i="3"/>
  <c r="AZ38" i="3"/>
  <c r="BL36" i="3"/>
  <c r="AZ36" i="3"/>
  <c r="BL34" i="3"/>
  <c r="AZ34" i="3"/>
  <c r="BL32" i="3"/>
  <c r="AZ32" i="3"/>
  <c r="BL30" i="3"/>
  <c r="AZ30" i="3"/>
  <c r="BL28" i="3"/>
  <c r="AZ28" i="3"/>
  <c r="BL26" i="3"/>
  <c r="AZ26" i="3"/>
  <c r="BL24" i="3"/>
  <c r="AZ24" i="3"/>
  <c r="BL22" i="3"/>
  <c r="AZ22" i="3"/>
  <c r="BL20" i="3"/>
  <c r="AZ20" i="3"/>
  <c r="BL18" i="3"/>
  <c r="AZ18" i="3"/>
  <c r="BL16" i="3"/>
  <c r="AZ16" i="3"/>
  <c r="BL14" i="3"/>
  <c r="AZ14" i="3"/>
  <c r="F30" i="78"/>
  <c r="F32" i="80"/>
  <c r="F60" i="80"/>
  <c r="BL129" i="3"/>
  <c r="AZ129" i="3"/>
  <c r="BL127" i="3"/>
  <c r="AZ127" i="3"/>
  <c r="BL125" i="3"/>
  <c r="AZ125" i="3"/>
  <c r="BL123" i="3"/>
  <c r="AZ123" i="3"/>
  <c r="BL121" i="3"/>
  <c r="AZ121" i="3"/>
  <c r="BL119" i="3"/>
  <c r="AZ119" i="3"/>
  <c r="BL117" i="3"/>
  <c r="AZ117" i="3"/>
  <c r="BL115" i="3"/>
  <c r="AZ115" i="3"/>
  <c r="BL113" i="3"/>
  <c r="AZ113" i="3"/>
  <c r="BL111" i="3"/>
  <c r="AZ111" i="3"/>
  <c r="BL109" i="3"/>
  <c r="AZ109" i="3"/>
  <c r="BL107" i="3"/>
  <c r="AZ107" i="3"/>
  <c r="BL105" i="3"/>
  <c r="AZ105" i="3"/>
  <c r="BL103" i="3"/>
  <c r="AZ103" i="3"/>
  <c r="BL101" i="3"/>
  <c r="AZ101" i="3"/>
  <c r="BL99" i="3"/>
  <c r="AZ99" i="3"/>
  <c r="BL97" i="3"/>
  <c r="AZ97" i="3"/>
  <c r="BL95" i="3"/>
  <c r="AZ95" i="3"/>
  <c r="BL93" i="3"/>
  <c r="AZ93" i="3"/>
  <c r="BL91" i="3"/>
  <c r="AZ91" i="3"/>
  <c r="BL89" i="3"/>
  <c r="AZ89" i="3"/>
  <c r="BL87" i="3"/>
  <c r="AZ87" i="3"/>
  <c r="BL85" i="3"/>
  <c r="AZ85" i="3"/>
  <c r="BL83" i="3"/>
  <c r="AZ83" i="3"/>
  <c r="BL81" i="3"/>
  <c r="AZ81" i="3"/>
  <c r="BL79" i="3"/>
  <c r="AZ79" i="3"/>
  <c r="BL77" i="3"/>
  <c r="AZ77" i="3"/>
  <c r="BL75" i="3"/>
  <c r="AZ75" i="3"/>
  <c r="BL73" i="3"/>
  <c r="AZ73" i="3"/>
  <c r="BL71" i="3"/>
  <c r="AZ71" i="3"/>
  <c r="BL69" i="3"/>
  <c r="AZ69" i="3"/>
  <c r="BL67" i="3"/>
  <c r="AZ67" i="3"/>
  <c r="BL65" i="3"/>
  <c r="AZ65" i="3"/>
  <c r="BL63" i="3"/>
  <c r="AZ63" i="3"/>
  <c r="BL61" i="3"/>
  <c r="AZ61" i="3"/>
  <c r="BL59" i="3"/>
  <c r="AZ59" i="3"/>
  <c r="BL57" i="3"/>
  <c r="AZ57" i="3"/>
  <c r="BL55" i="3"/>
  <c r="AZ55" i="3"/>
  <c r="BL53" i="3"/>
  <c r="AZ53" i="3"/>
  <c r="BL51" i="3"/>
  <c r="AZ51" i="3"/>
  <c r="BL49" i="3"/>
  <c r="AZ49" i="3"/>
  <c r="BL47" i="3"/>
  <c r="AZ47" i="3"/>
  <c r="BL45" i="3"/>
  <c r="AZ45" i="3"/>
  <c r="BL43" i="3"/>
  <c r="AZ43" i="3"/>
  <c r="BL41" i="3"/>
  <c r="AZ41" i="3"/>
  <c r="BL39" i="3"/>
  <c r="AZ39" i="3"/>
  <c r="BL37" i="3"/>
  <c r="AZ37" i="3"/>
  <c r="BL35" i="3"/>
  <c r="AZ35" i="3"/>
  <c r="BL33" i="3"/>
  <c r="AZ33" i="3"/>
  <c r="BL31" i="3"/>
  <c r="AZ31" i="3"/>
  <c r="BL29" i="3"/>
  <c r="AZ29" i="3"/>
  <c r="BL27" i="3"/>
  <c r="AZ27" i="3"/>
  <c r="BL25" i="3"/>
  <c r="AZ25" i="3"/>
  <c r="BL23" i="3"/>
  <c r="AZ23" i="3"/>
  <c r="BL21" i="3"/>
  <c r="AZ21" i="3"/>
  <c r="BL19" i="3"/>
  <c r="AZ19" i="3"/>
  <c r="BL17" i="3"/>
  <c r="AZ17" i="3"/>
  <c r="BL15" i="3"/>
  <c r="AZ15" i="3"/>
  <c r="BL13" i="3"/>
  <c r="BA312" i="3"/>
  <c r="AZ312" i="3"/>
  <c r="BA308" i="3"/>
  <c r="AZ308" i="3"/>
  <c r="BA304" i="3"/>
  <c r="AZ304" i="3"/>
  <c r="BA300" i="3"/>
  <c r="AZ300" i="3"/>
  <c r="BA296" i="3"/>
  <c r="AZ296" i="3"/>
  <c r="BA292" i="3"/>
  <c r="AZ292" i="3"/>
  <c r="BA288" i="3"/>
  <c r="AZ288" i="3"/>
  <c r="BA284" i="3"/>
  <c r="AZ284" i="3"/>
  <c r="BA280" i="3"/>
  <c r="AZ280" i="3"/>
  <c r="BA276" i="3"/>
  <c r="AZ276" i="3"/>
  <c r="BA272" i="3"/>
  <c r="AZ272" i="3"/>
  <c r="BA268" i="3"/>
  <c r="AZ268" i="3"/>
  <c r="BA264" i="3"/>
  <c r="AZ264" i="3"/>
  <c r="BA260" i="3"/>
  <c r="AZ260" i="3"/>
  <c r="BA256" i="3"/>
  <c r="AZ256" i="3"/>
  <c r="BA252" i="3"/>
  <c r="AZ252" i="3"/>
  <c r="BA248" i="3"/>
  <c r="AZ248" i="3"/>
  <c r="BA244" i="3"/>
  <c r="AZ244" i="3"/>
  <c r="BA240" i="3"/>
  <c r="AZ240" i="3"/>
  <c r="BA236" i="3"/>
  <c r="AZ236" i="3"/>
  <c r="BA232" i="3"/>
  <c r="AZ232" i="3"/>
  <c r="BA228" i="3"/>
  <c r="AZ228" i="3"/>
  <c r="BA224" i="3"/>
  <c r="AZ224" i="3"/>
  <c r="BA220" i="3"/>
  <c r="AZ220" i="3"/>
  <c r="BA216" i="3"/>
  <c r="AZ216" i="3"/>
  <c r="BA212" i="3"/>
  <c r="AZ212" i="3"/>
  <c r="BA208" i="3"/>
  <c r="AZ208" i="3"/>
  <c r="BA204" i="3"/>
  <c r="AZ204" i="3"/>
  <c r="BA200" i="3"/>
  <c r="AZ200" i="3"/>
  <c r="BA196" i="3"/>
  <c r="AZ196" i="3"/>
  <c r="BA192" i="3"/>
  <c r="AZ192" i="3"/>
  <c r="BA188" i="3"/>
  <c r="AZ188" i="3"/>
  <c r="BA184" i="3"/>
  <c r="AZ184" i="3"/>
  <c r="BA180" i="3"/>
  <c r="AZ180" i="3"/>
  <c r="BA176" i="3"/>
  <c r="AZ176" i="3"/>
  <c r="BA172" i="3"/>
  <c r="AZ172" i="3"/>
  <c r="BA168" i="3"/>
  <c r="AZ168" i="3"/>
  <c r="BA164" i="3"/>
  <c r="AZ164" i="3"/>
  <c r="BA160" i="3"/>
  <c r="AZ160" i="3"/>
  <c r="G1" i="78"/>
  <c r="G1" i="80"/>
  <c r="E1" i="73"/>
  <c r="BA310" i="3"/>
  <c r="AZ310" i="3"/>
  <c r="BA306" i="3"/>
  <c r="AZ306" i="3"/>
  <c r="BA302" i="3"/>
  <c r="AZ302" i="3"/>
  <c r="BA298" i="3"/>
  <c r="AZ298" i="3"/>
  <c r="BA294" i="3"/>
  <c r="AZ294" i="3"/>
  <c r="BA290" i="3"/>
  <c r="AZ290" i="3"/>
  <c r="BA286" i="3"/>
  <c r="AZ286" i="3"/>
  <c r="BA282" i="3"/>
  <c r="AZ282" i="3"/>
  <c r="BA278" i="3"/>
  <c r="AZ278" i="3"/>
  <c r="BA274" i="3"/>
  <c r="AZ274" i="3"/>
  <c r="BA270" i="3"/>
  <c r="AZ270" i="3"/>
  <c r="BA266" i="3"/>
  <c r="AZ266" i="3"/>
  <c r="BA262" i="3"/>
  <c r="AZ262" i="3"/>
  <c r="BA258" i="3"/>
  <c r="AZ258" i="3"/>
  <c r="BA254" i="3"/>
  <c r="AZ254" i="3"/>
  <c r="BA250" i="3"/>
  <c r="AZ250" i="3"/>
  <c r="BA246" i="3"/>
  <c r="AZ246" i="3"/>
  <c r="BA242" i="3"/>
  <c r="AZ242" i="3"/>
  <c r="BA238" i="3"/>
  <c r="AZ238" i="3"/>
  <c r="BA234" i="3"/>
  <c r="AZ234" i="3"/>
  <c r="BA230" i="3"/>
  <c r="AZ230" i="3"/>
  <c r="BA226" i="3"/>
  <c r="AZ226" i="3"/>
  <c r="BA222" i="3"/>
  <c r="AZ222" i="3"/>
  <c r="BA218" i="3"/>
  <c r="AZ218" i="3"/>
  <c r="BA214" i="3"/>
  <c r="AZ214" i="3"/>
  <c r="BA210" i="3"/>
  <c r="AZ210" i="3"/>
  <c r="BA206" i="3"/>
  <c r="AZ206" i="3"/>
  <c r="BA202" i="3"/>
  <c r="AZ202" i="3"/>
  <c r="BA198" i="3"/>
  <c r="AZ198" i="3"/>
  <c r="BA194" i="3"/>
  <c r="AZ194" i="3"/>
  <c r="BA190" i="3"/>
  <c r="AZ190" i="3"/>
  <c r="BA186" i="3"/>
  <c r="AZ186" i="3"/>
  <c r="BA182" i="3"/>
  <c r="AZ182" i="3"/>
  <c r="BA178" i="3"/>
  <c r="AZ178" i="3"/>
  <c r="BA174" i="3"/>
  <c r="AZ174" i="3"/>
  <c r="BA170" i="3"/>
  <c r="AZ170" i="3"/>
  <c r="BA166" i="3"/>
  <c r="AZ166" i="3"/>
  <c r="BA162" i="3"/>
  <c r="AZ162" i="3"/>
  <c r="BA158" i="3"/>
  <c r="G28" i="6"/>
  <c r="G30" i="6"/>
  <c r="G31" i="6"/>
  <c r="E48" i="77"/>
  <c r="B46" i="77"/>
  <c r="C24" i="77"/>
  <c r="Y11" i="71"/>
  <c r="Z11" i="71"/>
  <c r="Y9" i="71"/>
  <c r="Z9" i="71"/>
  <c r="Y7" i="71"/>
  <c r="Z7" i="71"/>
  <c r="Y5" i="71"/>
  <c r="Z5" i="71"/>
  <c r="AB12" i="71"/>
  <c r="AB10" i="71"/>
  <c r="AB8" i="71"/>
  <c r="AB3" i="71"/>
  <c r="AB6" i="71"/>
  <c r="AA11" i="71"/>
  <c r="AA9" i="71"/>
  <c r="AA7" i="71"/>
  <c r="AA5" i="71"/>
  <c r="X12" i="71"/>
  <c r="X10" i="71"/>
  <c r="X8" i="71"/>
  <c r="X3" i="71"/>
  <c r="X6" i="71"/>
  <c r="C19" i="43"/>
  <c r="H17" i="77"/>
  <c r="J17" i="77"/>
  <c r="G17" i="77"/>
  <c r="I17" i="77"/>
  <c r="C16" i="77"/>
  <c r="C6" i="77"/>
  <c r="F8" i="1"/>
  <c r="I20" i="77"/>
  <c r="K6" i="1"/>
  <c r="F9" i="67"/>
  <c r="C17" i="15"/>
  <c r="D5" i="73"/>
  <c r="F43" i="67"/>
  <c r="C16" i="15"/>
  <c r="F26" i="67"/>
  <c r="M29" i="67"/>
  <c r="D4" i="73"/>
  <c r="F7" i="67"/>
  <c r="F16" i="67"/>
  <c r="M7" i="67"/>
  <c r="J6" i="67"/>
  <c r="F50" i="67"/>
  <c r="C49" i="67"/>
  <c r="C6" i="67"/>
  <c r="F71" i="67"/>
  <c r="C27" i="67"/>
  <c r="E20" i="77"/>
  <c r="E20" i="43"/>
  <c r="C19" i="15"/>
  <c r="M6" i="1"/>
  <c r="Q16" i="1"/>
  <c r="H16" i="1"/>
  <c r="D5" i="77"/>
  <c r="C5" i="77"/>
  <c r="C19" i="77"/>
  <c r="K1" i="73"/>
  <c r="AZ13" i="3"/>
  <c r="BL5" i="3"/>
  <c r="C48" i="78"/>
  <c r="C30" i="78"/>
  <c r="F62" i="67"/>
  <c r="D19" i="71"/>
  <c r="T19" i="7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125" i="3"/>
  <c r="E217" i="3"/>
  <c r="E366" i="3"/>
  <c r="E526" i="3"/>
  <c r="E553" i="3"/>
  <c r="E268" i="3"/>
  <c r="E282" i="3"/>
  <c r="E322" i="3"/>
  <c r="N6" i="3"/>
  <c r="AJ6" i="3"/>
  <c r="E239" i="3"/>
  <c r="E509" i="3"/>
  <c r="E516" i="3"/>
  <c r="E579" i="3"/>
  <c r="E569" i="3"/>
  <c r="E431" i="3"/>
  <c r="E396" i="3"/>
  <c r="E247" i="3"/>
  <c r="E229" i="3"/>
  <c r="E201" i="3"/>
  <c r="E151" i="3"/>
  <c r="E270" i="3"/>
  <c r="E390" i="3"/>
  <c r="E533" i="3"/>
  <c r="S6" i="3"/>
  <c r="AR6" i="3"/>
  <c r="E523" i="3"/>
  <c r="E561" i="3"/>
  <c r="E506" i="3"/>
  <c r="E538" i="3"/>
  <c r="E418" i="3"/>
  <c r="E439" i="3"/>
  <c r="E338" i="3"/>
  <c r="E380" i="3"/>
  <c r="E321" i="3"/>
  <c r="E231" i="3"/>
  <c r="E298" i="3"/>
  <c r="E216" i="3"/>
  <c r="E169" i="3"/>
  <c r="E185" i="3"/>
  <c r="E61" i="3"/>
  <c r="E135" i="3"/>
  <c r="E290" i="3"/>
  <c r="E161" i="3"/>
  <c r="E117"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64" i="3"/>
  <c r="E222" i="3"/>
  <c r="E283" i="3"/>
  <c r="E323" i="3"/>
  <c r="E309" i="3"/>
  <c r="E373" i="3"/>
  <c r="E513" i="3"/>
  <c r="E82" i="3"/>
  <c r="E21" i="3"/>
  <c r="E53" i="3"/>
  <c r="E175" i="3"/>
  <c r="E319" i="3"/>
  <c r="E530" i="3"/>
  <c r="E501" i="3"/>
  <c r="E343" i="3"/>
  <c r="E153" i="3"/>
  <c r="E305" i="3"/>
  <c r="E426" i="3"/>
  <c r="E508" i="3"/>
  <c r="E328"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91" i="3"/>
  <c r="E221" i="3"/>
  <c r="E180"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87" i="3"/>
  <c r="E265" i="3"/>
  <c r="E308" i="3"/>
  <c r="E365" i="3"/>
  <c r="E326" i="3"/>
  <c r="E524" i="3"/>
  <c r="E22" i="3"/>
  <c r="E101" i="3"/>
  <c r="E83" i="3"/>
  <c r="B49" i="71"/>
  <c r="N50" i="71"/>
  <c r="C69" i="71"/>
  <c r="D69" i="71"/>
  <c r="D70" i="71"/>
  <c r="AB34" i="35"/>
  <c r="U34" i="35"/>
  <c r="U9" i="34"/>
  <c r="AB9" i="34"/>
  <c r="D27" i="71"/>
  <c r="T27" i="71"/>
  <c r="AC26" i="35"/>
  <c r="W26" i="35"/>
  <c r="AB26" i="35"/>
  <c r="U26" i="35"/>
  <c r="H7" i="37"/>
  <c r="K59" i="34"/>
  <c r="H7" i="36"/>
  <c r="J7" i="36"/>
  <c r="AA7" i="35"/>
  <c r="R38" i="35"/>
  <c r="S7" i="35"/>
  <c r="I52" i="33"/>
  <c r="J52" i="33"/>
  <c r="I53" i="33"/>
  <c r="J53" i="33"/>
  <c r="E53" i="33"/>
  <c r="F53" i="33"/>
  <c r="E52" i="33"/>
  <c r="F52" i="33"/>
  <c r="C47" i="39"/>
  <c r="C48" i="39"/>
  <c r="L46" i="67"/>
  <c r="Q73" i="15"/>
  <c r="Q60" i="15"/>
  <c r="C49" i="15"/>
  <c r="Q60" i="67"/>
  <c r="Q73" i="67"/>
  <c r="I20" i="43"/>
  <c r="G8" i="1"/>
  <c r="G16" i="1"/>
  <c r="BA5" i="3"/>
  <c r="E27" i="6"/>
  <c r="AZ158" i="3"/>
  <c r="E28" i="6"/>
  <c r="C16" i="43"/>
  <c r="B113" i="77"/>
  <c r="N101" i="77"/>
  <c r="M101" i="77"/>
  <c r="L101" i="77"/>
  <c r="K101" i="77"/>
  <c r="J101" i="77"/>
  <c r="I101" i="77"/>
  <c r="H101" i="77"/>
  <c r="G101" i="77"/>
  <c r="F101" i="77"/>
  <c r="E101" i="77"/>
  <c r="D101" i="77"/>
  <c r="C101" i="77"/>
  <c r="H22" i="77"/>
  <c r="F22" i="77"/>
  <c r="C23" i="77"/>
  <c r="C21" i="77"/>
  <c r="J22" i="77"/>
  <c r="G22" i="77"/>
  <c r="E22" i="77"/>
  <c r="AJ11" i="77"/>
  <c r="AJ13" i="77"/>
  <c r="AI11" i="77"/>
  <c r="AI13" i="77"/>
  <c r="AH11" i="77"/>
  <c r="AH13" i="77"/>
  <c r="AG11" i="77"/>
  <c r="AG13" i="77"/>
  <c r="AF11" i="77"/>
  <c r="AF13" i="77"/>
  <c r="AE11" i="77"/>
  <c r="AE13" i="77"/>
  <c r="AD11" i="77"/>
  <c r="AD13" i="77"/>
  <c r="AC11" i="77"/>
  <c r="AC13" i="77"/>
  <c r="AB11" i="77"/>
  <c r="AB13" i="77"/>
  <c r="AA11" i="77"/>
  <c r="AA13" i="77"/>
  <c r="Z11" i="77"/>
  <c r="Z13" i="77"/>
  <c r="S5" i="77"/>
  <c r="S3" i="77"/>
  <c r="S2" i="77"/>
  <c r="Y11" i="77"/>
  <c r="Y13" i="77"/>
  <c r="Z7" i="77"/>
  <c r="S7" i="77"/>
  <c r="S4" i="77"/>
  <c r="S6" i="77"/>
  <c r="D15" i="71"/>
  <c r="D23" i="71"/>
  <c r="M20" i="77"/>
  <c r="T15" i="71"/>
  <c r="M19" i="77"/>
  <c r="M19" i="43"/>
  <c r="T23" i="71"/>
  <c r="F1" i="67"/>
  <c r="Q52" i="67"/>
  <c r="AC36" i="35"/>
  <c r="W36" i="35"/>
  <c r="AA34" i="35"/>
  <c r="S34" i="35"/>
  <c r="AA26" i="35"/>
  <c r="S26" i="35"/>
  <c r="AC7" i="37"/>
  <c r="V42" i="37"/>
  <c r="I42" i="37"/>
  <c r="W7" i="37"/>
  <c r="S7" i="37"/>
  <c r="AA7" i="37"/>
  <c r="R42" i="37"/>
  <c r="H58" i="21"/>
  <c r="I58" i="21"/>
  <c r="J58" i="21"/>
  <c r="K58" i="21"/>
  <c r="L58" i="21"/>
  <c r="M58" i="21"/>
  <c r="N58" i="21"/>
  <c r="O58" i="21"/>
  <c r="J7" i="21"/>
  <c r="F7" i="36"/>
  <c r="AB7" i="35"/>
  <c r="T38" i="35"/>
  <c r="G38" i="35"/>
  <c r="U7" i="35"/>
  <c r="AC7" i="35"/>
  <c r="V38" i="35"/>
  <c r="I38" i="35"/>
  <c r="W7" i="35"/>
  <c r="G52" i="33"/>
  <c r="H52" i="33"/>
  <c r="G53" i="33"/>
  <c r="H53" i="33"/>
  <c r="L63" i="40"/>
  <c r="K65" i="40"/>
  <c r="C48" i="33"/>
  <c r="C49" i="33"/>
  <c r="E51" i="39"/>
  <c r="F51" i="39"/>
  <c r="E52" i="39"/>
  <c r="F52" i="39"/>
  <c r="Q66" i="67"/>
  <c r="Q57" i="67"/>
  <c r="F11" i="67"/>
  <c r="M11" i="67"/>
  <c r="F11" i="80"/>
  <c r="C53" i="80"/>
  <c r="M11" i="80"/>
  <c r="J10" i="80"/>
  <c r="M11" i="15"/>
  <c r="F11" i="15"/>
  <c r="J10" i="15"/>
  <c r="J5" i="15"/>
  <c r="Q61" i="15"/>
  <c r="Q74" i="15"/>
  <c r="Q74" i="67"/>
  <c r="Q61" i="67"/>
  <c r="F35" i="80"/>
  <c r="D10" i="78"/>
  <c r="L47" i="80"/>
  <c r="F8" i="80"/>
  <c r="M9" i="80"/>
  <c r="L48" i="80"/>
  <c r="M29" i="80"/>
  <c r="AE6" i="1"/>
  <c r="C34" i="78"/>
  <c r="F6" i="80"/>
  <c r="F42" i="80"/>
  <c r="M26" i="80"/>
  <c r="D9" i="78"/>
  <c r="F40" i="80"/>
  <c r="F38" i="80"/>
  <c r="C76" i="80"/>
  <c r="C16" i="67"/>
  <c r="M8" i="80"/>
  <c r="M21" i="80"/>
  <c r="F37" i="80"/>
  <c r="F27" i="78"/>
  <c r="F16" i="80"/>
  <c r="F13" i="80"/>
  <c r="M28" i="80"/>
  <c r="J15" i="80"/>
  <c r="G1" i="73"/>
  <c r="F26" i="80"/>
  <c r="F36" i="80"/>
  <c r="M27" i="80"/>
  <c r="M23" i="80"/>
  <c r="C36" i="78"/>
  <c r="F7" i="80"/>
  <c r="M6" i="80"/>
  <c r="M24" i="80"/>
  <c r="F9" i="80"/>
  <c r="F43" i="80"/>
  <c r="M22" i="80"/>
  <c r="F41" i="80"/>
  <c r="L58" i="80"/>
  <c r="M59" i="80"/>
  <c r="L59" i="80"/>
  <c r="N59" i="80"/>
  <c r="F69" i="80"/>
  <c r="F70" i="80"/>
  <c r="F65" i="80"/>
  <c r="F64" i="80"/>
  <c r="F71" i="80"/>
  <c r="C6" i="80"/>
  <c r="C27" i="80"/>
  <c r="C35" i="78"/>
  <c r="C33" i="78"/>
  <c r="C38" i="78"/>
  <c r="C10" i="78"/>
  <c r="B40" i="1"/>
  <c r="AG6" i="1"/>
  <c r="J20" i="80"/>
  <c r="Q71" i="80"/>
  <c r="J59" i="80"/>
  <c r="L60" i="80"/>
  <c r="I54" i="80"/>
  <c r="L57" i="80"/>
  <c r="L56" i="80"/>
  <c r="J57" i="80"/>
  <c r="J55" i="80"/>
  <c r="J58" i="80"/>
  <c r="Q50" i="80"/>
  <c r="L46" i="80"/>
  <c r="J53" i="80"/>
  <c r="J60" i="80"/>
  <c r="Q48" i="80"/>
  <c r="F66" i="80"/>
  <c r="M7" i="80"/>
  <c r="J6" i="80"/>
  <c r="J5" i="80"/>
  <c r="F50" i="80"/>
  <c r="F68" i="80"/>
  <c r="F63" i="80"/>
  <c r="C62" i="80"/>
  <c r="C34" i="80"/>
  <c r="F51" i="80"/>
  <c r="C49" i="80"/>
  <c r="C48" i="80"/>
  <c r="C29" i="78"/>
  <c r="D27" i="78"/>
  <c r="C47" i="78"/>
  <c r="D45" i="78"/>
  <c r="C9" i="78"/>
  <c r="D19" i="78"/>
  <c r="D37" i="78"/>
  <c r="C37" i="78"/>
  <c r="J24" i="15"/>
  <c r="J18" i="15"/>
  <c r="J26" i="15"/>
  <c r="J29" i="15"/>
  <c r="AC7" i="21"/>
  <c r="V48" i="21"/>
  <c r="I48" i="21"/>
  <c r="W7" i="21"/>
  <c r="I46" i="37"/>
  <c r="J46" i="37"/>
  <c r="C10" i="15"/>
  <c r="C5" i="15"/>
  <c r="C53" i="15"/>
  <c r="C48" i="15"/>
  <c r="S7" i="36"/>
  <c r="AA7" i="36"/>
  <c r="R36" i="36"/>
  <c r="F7" i="21"/>
  <c r="E42" i="37"/>
  <c r="R43" i="37"/>
  <c r="D22" i="77"/>
  <c r="C107" i="77"/>
  <c r="C106" i="77"/>
  <c r="C105" i="77"/>
  <c r="C104" i="77"/>
  <c r="C103" i="77"/>
  <c r="C102" i="77"/>
  <c r="C109" i="77"/>
  <c r="E107" i="77"/>
  <c r="E106" i="77"/>
  <c r="E105" i="77"/>
  <c r="E104" i="77"/>
  <c r="E103" i="77"/>
  <c r="E102" i="77"/>
  <c r="E109" i="77"/>
  <c r="G107" i="77"/>
  <c r="G106" i="77"/>
  <c r="G105" i="77"/>
  <c r="G104" i="77"/>
  <c r="G103" i="77"/>
  <c r="G102" i="77"/>
  <c r="G109" i="77"/>
  <c r="I107" i="77"/>
  <c r="I106" i="77"/>
  <c r="I105" i="77"/>
  <c r="I104" i="77"/>
  <c r="I103" i="77"/>
  <c r="I102" i="77"/>
  <c r="I109" i="77"/>
  <c r="K107" i="77"/>
  <c r="K106" i="77"/>
  <c r="K105" i="77"/>
  <c r="K104" i="77"/>
  <c r="K103" i="77"/>
  <c r="K102" i="77"/>
  <c r="K109" i="77"/>
  <c r="M107" i="77"/>
  <c r="M106" i="77"/>
  <c r="M105" i="77"/>
  <c r="M104" i="77"/>
  <c r="M103" i="77"/>
  <c r="M102" i="77"/>
  <c r="M109" i="77"/>
  <c r="G118" i="77"/>
  <c r="H118" i="77"/>
  <c r="D118" i="77"/>
  <c r="E118" i="77"/>
  <c r="F118" i="77"/>
  <c r="D117" i="77"/>
  <c r="E117" i="77"/>
  <c r="F117" i="77"/>
  <c r="G117" i="77"/>
  <c r="H117" i="77"/>
  <c r="D116" i="77"/>
  <c r="E116" i="77"/>
  <c r="F116" i="77"/>
  <c r="G116" i="77"/>
  <c r="H116" i="77"/>
  <c r="D115" i="77"/>
  <c r="E115" i="77"/>
  <c r="F115" i="77"/>
  <c r="G115" i="77"/>
  <c r="H115" i="77"/>
  <c r="I118" i="77"/>
  <c r="J118" i="77"/>
  <c r="K118" i="77"/>
  <c r="L118" i="77"/>
  <c r="M118" i="77"/>
  <c r="B118" i="77"/>
  <c r="C118" i="77"/>
  <c r="I117" i="77"/>
  <c r="J117" i="77"/>
  <c r="K117" i="77"/>
  <c r="L117" i="77"/>
  <c r="M117" i="77"/>
  <c r="B117" i="77"/>
  <c r="C117" i="77"/>
  <c r="I116" i="77"/>
  <c r="J116" i="77"/>
  <c r="K116" i="77"/>
  <c r="L116" i="77"/>
  <c r="M116" i="77"/>
  <c r="B116" i="77"/>
  <c r="C116" i="77"/>
  <c r="I115" i="77"/>
  <c r="J115" i="77"/>
  <c r="K115" i="77"/>
  <c r="L115" i="77"/>
  <c r="M115" i="77"/>
  <c r="B115" i="77"/>
  <c r="K19" i="6"/>
  <c r="K22" i="6"/>
  <c r="M22" i="6"/>
  <c r="I22" i="6"/>
  <c r="S22" i="6"/>
  <c r="K14" i="1"/>
  <c r="K24" i="6"/>
  <c r="M24" i="6"/>
  <c r="I24" i="6"/>
  <c r="S24" i="6"/>
  <c r="K21" i="6"/>
  <c r="M21" i="6"/>
  <c r="I21" i="6"/>
  <c r="S21" i="6"/>
  <c r="K20" i="6"/>
  <c r="M20" i="6"/>
  <c r="I20" i="6"/>
  <c r="S20" i="6"/>
  <c r="E30" i="6"/>
  <c r="K26" i="6"/>
  <c r="M26" i="6"/>
  <c r="I26" i="6"/>
  <c r="S26" i="6"/>
  <c r="K25" i="6"/>
  <c r="M25" i="6"/>
  <c r="I25" i="6"/>
  <c r="S25" i="6"/>
  <c r="K23" i="6"/>
  <c r="M23" i="6"/>
  <c r="I23" i="6"/>
  <c r="S23" i="6"/>
  <c r="H10" i="40"/>
  <c r="F10" i="39"/>
  <c r="F10" i="40"/>
  <c r="H10" i="39"/>
  <c r="J10" i="40"/>
  <c r="J10" i="39"/>
  <c r="B61" i="39"/>
  <c r="F61" i="39"/>
  <c r="B60" i="39"/>
  <c r="F60" i="39"/>
  <c r="B56" i="39"/>
  <c r="F56" i="39"/>
  <c r="F66" i="39"/>
  <c r="B2" i="39"/>
  <c r="B58" i="39"/>
  <c r="F58" i="39"/>
  <c r="B59" i="39"/>
  <c r="F59" i="39"/>
  <c r="B64" i="39"/>
  <c r="F64" i="39"/>
  <c r="B65" i="39"/>
  <c r="F65" i="39"/>
  <c r="B57" i="39"/>
  <c r="F57" i="39"/>
  <c r="B63" i="39"/>
  <c r="F63" i="39"/>
  <c r="B62" i="39"/>
  <c r="F62" i="39"/>
  <c r="E38" i="35"/>
  <c r="R39" i="35"/>
  <c r="U7" i="36"/>
  <c r="AB7" i="36"/>
  <c r="T36" i="36"/>
  <c r="G36" i="36"/>
  <c r="L59" i="34"/>
  <c r="M20" i="43"/>
  <c r="AC6" i="3"/>
  <c r="AZ5" i="3"/>
  <c r="H7" i="21"/>
  <c r="M17" i="43"/>
  <c r="G20" i="43"/>
  <c r="C20" i="43"/>
  <c r="P17" i="43"/>
  <c r="N17" i="43"/>
  <c r="O17" i="43"/>
  <c r="M63" i="40"/>
  <c r="L65" i="40"/>
  <c r="I42" i="35"/>
  <c r="J42" i="35"/>
  <c r="I43" i="35"/>
  <c r="J43" i="35"/>
  <c r="G42" i="35"/>
  <c r="H42" i="35"/>
  <c r="G43" i="35"/>
  <c r="H43" i="35"/>
  <c r="D107" i="77"/>
  <c r="D106" i="77"/>
  <c r="D105" i="77"/>
  <c r="D104" i="77"/>
  <c r="D103" i="77"/>
  <c r="D102" i="77"/>
  <c r="D109" i="77"/>
  <c r="F107" i="77"/>
  <c r="F106" i="77"/>
  <c r="F105" i="77"/>
  <c r="F104" i="77"/>
  <c r="F103" i="77"/>
  <c r="F102" i="77"/>
  <c r="F109" i="77"/>
  <c r="H107" i="77"/>
  <c r="H106" i="77"/>
  <c r="H105" i="77"/>
  <c r="H104" i="77"/>
  <c r="H103" i="77"/>
  <c r="H102" i="77"/>
  <c r="H109" i="77"/>
  <c r="J107" i="77"/>
  <c r="J106" i="77"/>
  <c r="J105" i="77"/>
  <c r="J104" i="77"/>
  <c r="J103" i="77"/>
  <c r="J102" i="77"/>
  <c r="J109" i="77"/>
  <c r="L107" i="77"/>
  <c r="L106" i="77"/>
  <c r="L105" i="77"/>
  <c r="L104" i="77"/>
  <c r="L103" i="77"/>
  <c r="L102" i="77"/>
  <c r="L109" i="77"/>
  <c r="N107" i="77"/>
  <c r="N106" i="77"/>
  <c r="N105" i="77"/>
  <c r="N104" i="77"/>
  <c r="N103" i="77"/>
  <c r="N102" i="77"/>
  <c r="N109" i="77"/>
  <c r="C5" i="43"/>
  <c r="D5" i="43"/>
  <c r="E31" i="6"/>
  <c r="C53" i="67"/>
  <c r="C48" i="67"/>
  <c r="W7" i="36"/>
  <c r="AC7" i="36"/>
  <c r="V36" i="36"/>
  <c r="I36" i="36"/>
  <c r="AB7" i="37"/>
  <c r="T42" i="37"/>
  <c r="G42" i="37"/>
  <c r="U7" i="37"/>
  <c r="N49" i="71"/>
  <c r="N48" i="71"/>
  <c r="H6" i="3"/>
  <c r="E6" i="3"/>
  <c r="F27" i="68"/>
  <c r="F27" i="11"/>
  <c r="F28" i="12"/>
  <c r="C29" i="12"/>
  <c r="D28" i="12"/>
  <c r="C20" i="15"/>
  <c r="C26" i="15"/>
  <c r="M17" i="77"/>
  <c r="G20" i="77"/>
  <c r="C20" i="77"/>
  <c r="C38" i="77"/>
  <c r="P17" i="77"/>
  <c r="N17" i="77"/>
  <c r="O17" i="77"/>
  <c r="C10" i="67"/>
  <c r="C5" i="67"/>
  <c r="J10" i="67"/>
  <c r="J5" i="67"/>
  <c r="C14" i="80"/>
  <c r="M27" i="67"/>
  <c r="C16" i="80"/>
  <c r="C17" i="80"/>
  <c r="T13" i="77"/>
  <c r="V13" i="77"/>
  <c r="T4" i="77"/>
  <c r="V4" i="77"/>
  <c r="T9" i="77"/>
  <c r="V9" i="77"/>
  <c r="T16" i="77"/>
  <c r="V16" i="77"/>
  <c r="C35" i="77"/>
  <c r="T5" i="77"/>
  <c r="V5" i="77"/>
  <c r="T3" i="77"/>
  <c r="V3" i="77"/>
  <c r="T7" i="77"/>
  <c r="V7" i="77"/>
  <c r="T14" i="77"/>
  <c r="V14" i="77"/>
  <c r="C37" i="77"/>
  <c r="C8" i="78"/>
  <c r="C33" i="77"/>
  <c r="C39" i="77"/>
  <c r="G39" i="77"/>
  <c r="I39" i="77"/>
  <c r="C19" i="80"/>
  <c r="C15" i="80"/>
  <c r="C18" i="80"/>
  <c r="C33" i="67"/>
  <c r="C32" i="67"/>
  <c r="C38" i="67"/>
  <c r="G38" i="77"/>
  <c r="I38" i="77"/>
  <c r="E38" i="77"/>
  <c r="C60" i="67"/>
  <c r="C66" i="67"/>
  <c r="C61" i="67"/>
  <c r="C66" i="15"/>
  <c r="C60" i="15"/>
  <c r="J24" i="67"/>
  <c r="J18" i="67"/>
  <c r="J26" i="80"/>
  <c r="J29" i="80"/>
  <c r="J24" i="80"/>
  <c r="J18" i="80"/>
  <c r="G46" i="37"/>
  <c r="H46" i="37"/>
  <c r="G47" i="37"/>
  <c r="H47" i="37"/>
  <c r="C33" i="43"/>
  <c r="C35" i="43"/>
  <c r="C34" i="43"/>
  <c r="C36" i="43"/>
  <c r="G37" i="77"/>
  <c r="I37" i="77"/>
  <c r="E37" i="77"/>
  <c r="C29" i="11"/>
  <c r="D27" i="11"/>
  <c r="C47" i="11"/>
  <c r="D45" i="11"/>
  <c r="C34" i="77"/>
  <c r="C36" i="77"/>
  <c r="I40" i="36"/>
  <c r="J40" i="36"/>
  <c r="C29" i="43"/>
  <c r="T3" i="43"/>
  <c r="V3" i="43"/>
  <c r="T4" i="43"/>
  <c r="V4" i="43"/>
  <c r="C37" i="43"/>
  <c r="C39" i="43"/>
  <c r="C38" i="43"/>
  <c r="T11" i="43"/>
  <c r="V11" i="43"/>
  <c r="T16" i="43"/>
  <c r="V16" i="43"/>
  <c r="T14" i="43"/>
  <c r="V14" i="43"/>
  <c r="T12" i="43"/>
  <c r="V12" i="43"/>
  <c r="T9" i="43"/>
  <c r="V9" i="43"/>
  <c r="T7" i="43"/>
  <c r="V7" i="43"/>
  <c r="T2" i="43"/>
  <c r="V2" i="43"/>
  <c r="T8" i="43"/>
  <c r="V8" i="43"/>
  <c r="T15" i="43"/>
  <c r="V15" i="43"/>
  <c r="T13" i="43"/>
  <c r="V13" i="43"/>
  <c r="T10" i="43"/>
  <c r="V10" i="43"/>
  <c r="T5" i="43"/>
  <c r="V5" i="43"/>
  <c r="T6" i="43"/>
  <c r="V6" i="43"/>
  <c r="M65" i="40"/>
  <c r="N63" i="40"/>
  <c r="T10" i="77"/>
  <c r="V10" i="77"/>
  <c r="T2" i="77"/>
  <c r="V2" i="77"/>
  <c r="T12" i="77"/>
  <c r="V12" i="77"/>
  <c r="T6" i="77"/>
  <c r="V6" i="77"/>
  <c r="T8" i="77"/>
  <c r="V8" i="77"/>
  <c r="T11" i="77"/>
  <c r="V11" i="77"/>
  <c r="T15" i="77"/>
  <c r="V15" i="77"/>
  <c r="C29" i="77"/>
  <c r="AY6" i="3"/>
  <c r="E3" i="6"/>
  <c r="G40" i="36"/>
  <c r="H40" i="36"/>
  <c r="G41" i="36"/>
  <c r="H41" i="36"/>
  <c r="C39" i="35"/>
  <c r="B2" i="35"/>
  <c r="B3" i="35"/>
  <c r="C38" i="35"/>
  <c r="W10" i="40"/>
  <c r="AC10" i="40"/>
  <c r="AA10" i="40"/>
  <c r="S10" i="40"/>
  <c r="U10" i="40"/>
  <c r="AB10" i="40"/>
  <c r="M14" i="1"/>
  <c r="K16" i="1"/>
  <c r="M19" i="6"/>
  <c r="S6" i="1"/>
  <c r="K27" i="6"/>
  <c r="E47" i="37"/>
  <c r="F47" i="37"/>
  <c r="E46" i="37"/>
  <c r="F46" i="37"/>
  <c r="E36" i="36"/>
  <c r="R37" i="36"/>
  <c r="C32" i="15"/>
  <c r="C38" i="15"/>
  <c r="I47" i="37"/>
  <c r="J47" i="37"/>
  <c r="I52" i="21"/>
  <c r="J52" i="21"/>
  <c r="C60" i="80"/>
  <c r="C66" i="80"/>
  <c r="C39" i="78"/>
  <c r="C29" i="68"/>
  <c r="D27" i="68"/>
  <c r="C47" i="68"/>
  <c r="D45" i="68"/>
  <c r="G35" i="77"/>
  <c r="I35" i="77"/>
  <c r="E35" i="77"/>
  <c r="C6" i="78"/>
  <c r="G33" i="77"/>
  <c r="I33" i="77"/>
  <c r="E33" i="77"/>
  <c r="U7" i="21"/>
  <c r="AB7" i="21"/>
  <c r="T48" i="21"/>
  <c r="G48" i="21"/>
  <c r="M59" i="34"/>
  <c r="E43" i="35"/>
  <c r="F43" i="35"/>
  <c r="E42" i="35"/>
  <c r="F42" i="35"/>
  <c r="B3" i="39"/>
  <c r="AC10" i="39"/>
  <c r="W10" i="39"/>
  <c r="AB10" i="39"/>
  <c r="U10" i="39"/>
  <c r="S10" i="39"/>
  <c r="AA10" i="39"/>
  <c r="C115" i="77"/>
  <c r="D113" i="77"/>
  <c r="C43" i="37"/>
  <c r="C42" i="37"/>
  <c r="S7" i="21"/>
  <c r="AA7" i="21"/>
  <c r="R48" i="21"/>
  <c r="F1" i="80"/>
  <c r="Q52" i="80"/>
  <c r="Q66" i="80"/>
  <c r="Q57" i="80"/>
  <c r="F22" i="69"/>
  <c r="F24" i="67"/>
  <c r="C24" i="67"/>
  <c r="F22" i="78"/>
  <c r="F24" i="80"/>
  <c r="C24" i="80"/>
  <c r="F25" i="12"/>
  <c r="C26" i="12"/>
  <c r="D25" i="12"/>
  <c r="F24" i="15"/>
  <c r="F22" i="11"/>
  <c r="F22" i="68"/>
  <c r="C10" i="80"/>
  <c r="C5" i="80"/>
  <c r="Q74" i="80"/>
  <c r="Q61" i="80"/>
  <c r="Q73" i="80"/>
  <c r="Q60" i="80"/>
  <c r="D10" i="69"/>
  <c r="C34" i="69"/>
  <c r="C14" i="67"/>
  <c r="C17" i="67"/>
  <c r="AE9" i="1"/>
  <c r="E39" i="77"/>
  <c r="C10" i="69"/>
  <c r="C8" i="69"/>
  <c r="D19" i="69"/>
  <c r="D37" i="69"/>
  <c r="C37" i="69"/>
  <c r="C35" i="69"/>
  <c r="C38" i="69"/>
  <c r="C15" i="67"/>
  <c r="C18" i="67"/>
  <c r="C33" i="80"/>
  <c r="C38" i="80"/>
  <c r="C32" i="80"/>
  <c r="C44" i="11"/>
  <c r="D41" i="11"/>
  <c r="C23" i="11"/>
  <c r="C26" i="11"/>
  <c r="D22" i="11"/>
  <c r="C24" i="78"/>
  <c r="C26" i="78"/>
  <c r="D22" i="78"/>
  <c r="C44" i="78"/>
  <c r="D41" i="78"/>
  <c r="C24" i="69"/>
  <c r="C26" i="69"/>
  <c r="D22" i="69"/>
  <c r="C44" i="69"/>
  <c r="D41" i="69"/>
  <c r="E48" i="21"/>
  <c r="R49" i="21"/>
  <c r="G52" i="21"/>
  <c r="H52" i="21"/>
  <c r="G53" i="21"/>
  <c r="H53" i="21"/>
  <c r="C7" i="78"/>
  <c r="C5" i="78"/>
  <c r="C43" i="78"/>
  <c r="C37" i="36"/>
  <c r="B2" i="36"/>
  <c r="B3" i="36"/>
  <c r="C36" i="36"/>
  <c r="I19" i="6"/>
  <c r="M27" i="6"/>
  <c r="T6" i="1"/>
  <c r="T16" i="1"/>
  <c r="M16" i="1"/>
  <c r="M18" i="9"/>
  <c r="B118" i="9"/>
  <c r="B14" i="74"/>
  <c r="B1" i="74"/>
  <c r="D3" i="34"/>
  <c r="D3" i="33"/>
  <c r="B2" i="33"/>
  <c r="B3" i="33"/>
  <c r="E6" i="6"/>
  <c r="C17" i="4"/>
  <c r="B4" i="52"/>
  <c r="B43" i="72"/>
  <c r="L18" i="9"/>
  <c r="D3" i="37"/>
  <c r="D3" i="21"/>
  <c r="D19" i="11"/>
  <c r="C19" i="11"/>
  <c r="D37" i="11"/>
  <c r="C37" i="11"/>
  <c r="D14" i="12"/>
  <c r="C30" i="77"/>
  <c r="E30" i="77"/>
  <c r="E29" i="77"/>
  <c r="O63" i="40"/>
  <c r="O65" i="40"/>
  <c r="N65" i="40"/>
  <c r="J7" i="40"/>
  <c r="E39" i="43"/>
  <c r="G39" i="43"/>
  <c r="I39" i="43"/>
  <c r="C6" i="69"/>
  <c r="E29" i="43"/>
  <c r="C30" i="43"/>
  <c r="E30" i="43"/>
  <c r="G36" i="77"/>
  <c r="I36" i="77"/>
  <c r="E36" i="77"/>
  <c r="E36" i="43"/>
  <c r="G36" i="43"/>
  <c r="I36" i="43"/>
  <c r="E35" i="43"/>
  <c r="G35" i="43"/>
  <c r="I35" i="43"/>
  <c r="C23" i="68"/>
  <c r="C26" i="68"/>
  <c r="D22" i="68"/>
  <c r="C44" i="68"/>
  <c r="D41" i="68"/>
  <c r="C24" i="15"/>
  <c r="C23" i="15"/>
  <c r="B2" i="37"/>
  <c r="B3" i="37"/>
  <c r="N59" i="34"/>
  <c r="C42" i="78"/>
  <c r="C41" i="78"/>
  <c r="C46" i="78"/>
  <c r="C45" i="78"/>
  <c r="E40" i="36"/>
  <c r="F40" i="36"/>
  <c r="E41" i="36"/>
  <c r="F41" i="36"/>
  <c r="AQ6" i="1"/>
  <c r="AR6" i="1"/>
  <c r="S16" i="1"/>
  <c r="E6" i="70"/>
  <c r="E2" i="70"/>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38" i="43"/>
  <c r="G38" i="43"/>
  <c r="I38" i="43"/>
  <c r="E37" i="43"/>
  <c r="G37" i="43"/>
  <c r="I37" i="43"/>
  <c r="I41" i="36"/>
  <c r="J41" i="36"/>
  <c r="G34" i="77"/>
  <c r="I34" i="77"/>
  <c r="E34" i="77"/>
  <c r="E34" i="43"/>
  <c r="G34" i="43"/>
  <c r="I34" i="43"/>
  <c r="E33" i="43"/>
  <c r="G33" i="43"/>
  <c r="I33" i="43"/>
  <c r="C20" i="80"/>
  <c r="C23" i="80"/>
  <c r="C33" i="69"/>
  <c r="C42" i="69"/>
  <c r="C19" i="67"/>
  <c r="C39" i="69"/>
  <c r="C43" i="69"/>
  <c r="C20" i="67"/>
  <c r="C23" i="67"/>
  <c r="H19" i="6"/>
  <c r="D19" i="6"/>
  <c r="D22" i="6"/>
  <c r="H22" i="6"/>
  <c r="M19" i="9"/>
  <c r="C118" i="9"/>
  <c r="C14" i="74"/>
  <c r="B2" i="74"/>
  <c r="H20" i="6"/>
  <c r="D25" i="6"/>
  <c r="D15" i="6"/>
  <c r="D8" i="6"/>
  <c r="D23" i="6"/>
  <c r="H23" i="6"/>
  <c r="R23" i="6"/>
  <c r="D14" i="6"/>
  <c r="D5" i="6"/>
  <c r="D12" i="6"/>
  <c r="D11" i="6"/>
  <c r="D13" i="6"/>
  <c r="D28" i="6"/>
  <c r="D29" i="6"/>
  <c r="D30" i="6"/>
  <c r="E61" i="40"/>
  <c r="H21" i="6"/>
  <c r="H24" i="6"/>
  <c r="D26" i="6"/>
  <c r="C18" i="4"/>
  <c r="D21" i="6"/>
  <c r="R21" i="6"/>
  <c r="D24" i="6"/>
  <c r="R24" i="6"/>
  <c r="D20" i="6"/>
  <c r="R20" i="6"/>
  <c r="D6" i="6"/>
  <c r="D9" i="6"/>
  <c r="D10" i="6"/>
  <c r="L19" i="9"/>
  <c r="H25" i="6"/>
  <c r="H26" i="6"/>
  <c r="C26" i="80"/>
  <c r="C29" i="80"/>
  <c r="C49" i="78"/>
  <c r="O59" i="34"/>
  <c r="H7" i="34"/>
  <c r="C29" i="15"/>
  <c r="C26" i="43"/>
  <c r="F7" i="40"/>
  <c r="H7" i="40"/>
  <c r="C26" i="77"/>
  <c r="B2" i="77"/>
  <c r="B3" i="77"/>
  <c r="D10" i="68"/>
  <c r="D10" i="11"/>
  <c r="C10" i="11"/>
  <c r="D20" i="12"/>
  <c r="C20" i="12"/>
  <c r="C18" i="12"/>
  <c r="C34" i="11"/>
  <c r="L16" i="1"/>
  <c r="N16" i="1"/>
  <c r="C34" i="68"/>
  <c r="E52" i="21"/>
  <c r="F52" i="21"/>
  <c r="E53" i="21"/>
  <c r="F53" i="21"/>
  <c r="I53" i="21"/>
  <c r="J53" i="21"/>
  <c r="C31" i="80"/>
  <c r="C27" i="43"/>
  <c r="C7" i="69"/>
  <c r="C5" i="69"/>
  <c r="AC7" i="40"/>
  <c r="V42" i="40"/>
  <c r="I42" i="40"/>
  <c r="W7" i="40"/>
  <c r="C27" i="77"/>
  <c r="D17" i="12"/>
  <c r="C17" i="12"/>
  <c r="C14" i="12"/>
  <c r="C16" i="12"/>
  <c r="C20" i="11"/>
  <c r="C25" i="11"/>
  <c r="C24" i="11"/>
  <c r="C28" i="11"/>
  <c r="C27" i="11"/>
  <c r="C8" i="74"/>
  <c r="C7" i="74"/>
  <c r="S19" i="6"/>
  <c r="S27" i="6"/>
  <c r="I27" i="6"/>
  <c r="C20" i="78"/>
  <c r="C25" i="78"/>
  <c r="C23" i="78"/>
  <c r="C22" i="78"/>
  <c r="C49" i="21"/>
  <c r="B2" i="21"/>
  <c r="B3" i="21"/>
  <c r="C48" i="21"/>
  <c r="E6" i="76"/>
  <c r="C41" i="69"/>
  <c r="C46" i="69"/>
  <c r="C45" i="69"/>
  <c r="C49" i="69"/>
  <c r="C26" i="67"/>
  <c r="C29" i="67"/>
  <c r="C22" i="11"/>
  <c r="C31" i="11"/>
  <c r="C21" i="12"/>
  <c r="C22" i="12"/>
  <c r="C30" i="12"/>
  <c r="C28" i="12"/>
  <c r="E2" i="76"/>
  <c r="U7" i="34"/>
  <c r="AB7" i="34"/>
  <c r="T49" i="34"/>
  <c r="G49" i="34"/>
  <c r="C36" i="80"/>
  <c r="C13" i="80"/>
  <c r="J14" i="80"/>
  <c r="C57" i="80"/>
  <c r="Q49" i="80"/>
  <c r="J19" i="80"/>
  <c r="J17" i="80"/>
  <c r="I46" i="40"/>
  <c r="J46" i="40"/>
  <c r="C20" i="69"/>
  <c r="C25" i="69"/>
  <c r="C23" i="69"/>
  <c r="F50" i="68"/>
  <c r="F50" i="69"/>
  <c r="F50" i="78"/>
  <c r="F50" i="11"/>
  <c r="C35" i="11"/>
  <c r="C38" i="11"/>
  <c r="C33" i="11"/>
  <c r="AA7" i="40"/>
  <c r="R42" i="40"/>
  <c r="S7" i="40"/>
  <c r="C51" i="78"/>
  <c r="A7" i="51"/>
  <c r="B7" i="72"/>
  <c r="C4" i="52"/>
  <c r="B45" i="72"/>
  <c r="A10" i="51"/>
  <c r="B9" i="72"/>
  <c r="D16" i="6"/>
  <c r="R25" i="6"/>
  <c r="D7" i="74"/>
  <c r="D8" i="74"/>
  <c r="R22" i="6"/>
  <c r="H27" i="6"/>
  <c r="C28" i="78"/>
  <c r="C27" i="78"/>
  <c r="C31" i="78"/>
  <c r="C52" i="78"/>
  <c r="B2" i="78"/>
  <c r="C38" i="68"/>
  <c r="C35" i="68"/>
  <c r="C10" i="68"/>
  <c r="D19" i="68"/>
  <c r="U7" i="40"/>
  <c r="AB7" i="40"/>
  <c r="T42" i="40"/>
  <c r="G42" i="40"/>
  <c r="B2" i="43"/>
  <c r="J19" i="15"/>
  <c r="J17" i="15"/>
  <c r="Q49" i="15"/>
  <c r="J14" i="15"/>
  <c r="C57" i="15"/>
  <c r="C33" i="15"/>
  <c r="C31" i="15"/>
  <c r="C13" i="15"/>
  <c r="C36" i="15"/>
  <c r="F7" i="34"/>
  <c r="J7" i="34"/>
  <c r="R26" i="6"/>
  <c r="R19" i="6"/>
  <c r="D27" i="6"/>
  <c r="D31" i="6"/>
  <c r="B6" i="76"/>
  <c r="B3" i="78"/>
  <c r="J14" i="67"/>
  <c r="J22" i="67"/>
  <c r="C36" i="67"/>
  <c r="J19" i="67"/>
  <c r="Q49" i="67"/>
  <c r="C27" i="12"/>
  <c r="C25" i="12"/>
  <c r="C57" i="67"/>
  <c r="C64" i="67"/>
  <c r="C13" i="67"/>
  <c r="C37" i="67"/>
  <c r="C51" i="69"/>
  <c r="B2" i="76"/>
  <c r="B3" i="76"/>
  <c r="C42" i="11"/>
  <c r="C39" i="11"/>
  <c r="C43" i="11"/>
  <c r="I6" i="6"/>
  <c r="I5" i="6"/>
  <c r="C37" i="15"/>
  <c r="C30" i="15"/>
  <c r="C39" i="15"/>
  <c r="Q70" i="15"/>
  <c r="C56" i="15"/>
  <c r="C65" i="15"/>
  <c r="C75" i="15"/>
  <c r="R6" i="1"/>
  <c r="R27" i="6"/>
  <c r="AC7" i="34"/>
  <c r="V49" i="34"/>
  <c r="I49" i="34"/>
  <c r="W7" i="34"/>
  <c r="J13" i="15"/>
  <c r="J23" i="15"/>
  <c r="J22" i="15"/>
  <c r="G47" i="40"/>
  <c r="H47" i="40"/>
  <c r="G46" i="40"/>
  <c r="H46" i="40"/>
  <c r="C19" i="68"/>
  <c r="D37" i="68"/>
  <c r="C37" i="68"/>
  <c r="C33" i="68"/>
  <c r="C22" i="69"/>
  <c r="C32" i="12"/>
  <c r="B2" i="12"/>
  <c r="B3" i="12"/>
  <c r="C61" i="80"/>
  <c r="C59" i="80"/>
  <c r="C64" i="80"/>
  <c r="C37" i="80"/>
  <c r="C30" i="80"/>
  <c r="C39" i="80"/>
  <c r="C75" i="80"/>
  <c r="C56" i="80"/>
  <c r="C65" i="80"/>
  <c r="Q70" i="80"/>
  <c r="G54" i="34"/>
  <c r="H54" i="34"/>
  <c r="G53" i="34"/>
  <c r="H53" i="34"/>
  <c r="S7" i="34"/>
  <c r="AA7" i="34"/>
  <c r="R49" i="34"/>
  <c r="C61" i="15"/>
  <c r="C59" i="15"/>
  <c r="C64" i="15"/>
  <c r="B3" i="43"/>
  <c r="C57" i="78"/>
  <c r="C56" i="78"/>
  <c r="E42" i="40"/>
  <c r="R43" i="40"/>
  <c r="C28" i="69"/>
  <c r="C27" i="69"/>
  <c r="C31" i="69"/>
  <c r="C52" i="69"/>
  <c r="J22" i="80"/>
  <c r="J13" i="80"/>
  <c r="J23" i="80"/>
  <c r="F35" i="67"/>
  <c r="M21" i="67"/>
  <c r="C75" i="67"/>
  <c r="J13" i="67"/>
  <c r="J23" i="67"/>
  <c r="Q70" i="67"/>
  <c r="C56" i="67"/>
  <c r="C65" i="67"/>
  <c r="J16" i="15"/>
  <c r="J25" i="15"/>
  <c r="J16" i="80"/>
  <c r="J25" i="80"/>
  <c r="F63" i="67"/>
  <c r="C62" i="67"/>
  <c r="C59" i="67"/>
  <c r="C34" i="67"/>
  <c r="C31" i="67"/>
  <c r="C30" i="67"/>
  <c r="C39" i="67"/>
  <c r="J20" i="67"/>
  <c r="J17" i="67"/>
  <c r="C39" i="68"/>
  <c r="C43" i="68"/>
  <c r="C42" i="68"/>
  <c r="Q69" i="15"/>
  <c r="Q68" i="15"/>
  <c r="C40" i="15"/>
  <c r="R50" i="34"/>
  <c r="E49" i="34"/>
  <c r="C58" i="80"/>
  <c r="C67" i="80"/>
  <c r="C68" i="80"/>
  <c r="E46" i="40"/>
  <c r="F46" i="40"/>
  <c r="E47" i="40"/>
  <c r="F47" i="40"/>
  <c r="I47" i="40"/>
  <c r="J47" i="40"/>
  <c r="C58" i="15"/>
  <c r="C67" i="15"/>
  <c r="C68" i="15"/>
  <c r="C80" i="80"/>
  <c r="C79" i="80"/>
  <c r="C20" i="68"/>
  <c r="C25" i="68"/>
  <c r="C24" i="68"/>
  <c r="I54" i="34"/>
  <c r="J54" i="34"/>
  <c r="I53" i="34"/>
  <c r="J53" i="34"/>
  <c r="R16" i="1"/>
  <c r="C80" i="15"/>
  <c r="C79" i="15"/>
  <c r="C57" i="69"/>
  <c r="C56" i="69"/>
  <c r="C46" i="11"/>
  <c r="C45" i="11"/>
  <c r="C41" i="11"/>
  <c r="C49" i="11"/>
  <c r="C51" i="11"/>
  <c r="C42" i="40"/>
  <c r="C43" i="40"/>
  <c r="C40" i="80"/>
  <c r="Q69" i="80"/>
  <c r="Q68" i="80"/>
  <c r="L51" i="80"/>
  <c r="L51" i="15"/>
  <c r="C80" i="67"/>
  <c r="C79" i="67"/>
  <c r="J16" i="67"/>
  <c r="J25" i="67"/>
  <c r="J26" i="67"/>
  <c r="J29" i="67"/>
  <c r="C46" i="68"/>
  <c r="C45" i="68"/>
  <c r="C58" i="67"/>
  <c r="C67" i="67"/>
  <c r="C68" i="67"/>
  <c r="C41" i="68"/>
  <c r="C49" i="68"/>
  <c r="C51" i="68"/>
  <c r="Q67" i="80"/>
  <c r="Q67" i="15"/>
  <c r="L57" i="15"/>
  <c r="L60" i="15"/>
  <c r="C52" i="11"/>
  <c r="B2" i="11"/>
  <c r="B3" i="11"/>
  <c r="C22" i="68"/>
  <c r="C71" i="80"/>
  <c r="C45" i="80"/>
  <c r="C46" i="80"/>
  <c r="C49" i="34"/>
  <c r="C50" i="34"/>
  <c r="B2" i="34"/>
  <c r="B3" i="34"/>
  <c r="C43" i="15"/>
  <c r="Q65" i="15"/>
  <c r="Q47" i="15"/>
  <c r="Q53" i="15"/>
  <c r="Q56" i="15"/>
  <c r="C83" i="15"/>
  <c r="C82" i="15"/>
  <c r="C71" i="67"/>
  <c r="D2" i="80"/>
  <c r="Q56" i="80"/>
  <c r="Q62" i="80"/>
  <c r="Q65" i="80"/>
  <c r="Q75" i="80"/>
  <c r="Q47" i="80"/>
  <c r="Q53" i="80"/>
  <c r="C43" i="80"/>
  <c r="C83" i="80"/>
  <c r="C82" i="80"/>
  <c r="C28" i="68"/>
  <c r="C27" i="68"/>
  <c r="C71" i="15"/>
  <c r="C46" i="15"/>
  <c r="E54" i="34"/>
  <c r="F54" i="34"/>
  <c r="E53" i="34"/>
  <c r="F53" i="34"/>
  <c r="C40" i="67"/>
  <c r="C45" i="67"/>
  <c r="C46" i="67"/>
  <c r="Q69" i="67"/>
  <c r="Q68" i="67"/>
  <c r="B55" i="40"/>
  <c r="F55" i="40"/>
  <c r="B53" i="40"/>
  <c r="F53" i="40"/>
  <c r="B60" i="40"/>
  <c r="F60" i="40"/>
  <c r="F61" i="40"/>
  <c r="B2" i="40"/>
  <c r="B3" i="40"/>
  <c r="B57" i="40"/>
  <c r="F57" i="40"/>
  <c r="B58" i="40"/>
  <c r="F58" i="40"/>
  <c r="B59" i="40"/>
  <c r="F59" i="40"/>
  <c r="B52" i="40"/>
  <c r="F52" i="40"/>
  <c r="B56" i="40"/>
  <c r="F56" i="40"/>
  <c r="B51" i="40"/>
  <c r="F51" i="40"/>
  <c r="B54" i="40"/>
  <c r="F54" i="40"/>
  <c r="L51" i="67"/>
  <c r="E2" i="69"/>
  <c r="C31" i="68"/>
  <c r="C52" i="68"/>
  <c r="B2" i="68"/>
  <c r="B3" i="68"/>
  <c r="B2" i="69"/>
  <c r="Q67" i="67"/>
  <c r="D2" i="67"/>
  <c r="Q65" i="67"/>
  <c r="Q75" i="67"/>
  <c r="Q56" i="67"/>
  <c r="Q62" i="67"/>
  <c r="Q47" i="67"/>
  <c r="Q53" i="67"/>
  <c r="C43" i="67"/>
  <c r="C83" i="67"/>
  <c r="C82" i="67"/>
  <c r="B3" i="80"/>
  <c r="D6" i="81"/>
  <c r="E6" i="81"/>
  <c r="B2" i="80"/>
  <c r="C56" i="11"/>
  <c r="C57" i="11"/>
  <c r="Q57" i="15"/>
  <c r="Q62" i="15"/>
  <c r="Q66" i="15"/>
  <c r="Q75" i="15"/>
  <c r="L46" i="15"/>
  <c r="B2" i="15"/>
  <c r="B3" i="15"/>
  <c r="AO9" i="1"/>
  <c r="D19" i="9"/>
  <c r="C57" i="68"/>
  <c r="C56" i="68"/>
  <c r="B9" i="70"/>
  <c r="D21" i="9"/>
  <c r="D102" i="9"/>
  <c r="B3" i="67"/>
  <c r="B2" i="67"/>
  <c r="C19" i="9"/>
  <c r="B3" i="69"/>
  <c r="C20" i="9"/>
  <c r="AO6" i="1"/>
  <c r="C103" i="9"/>
  <c r="B6" i="70"/>
  <c r="B2" i="70"/>
  <c r="B3" i="70"/>
  <c r="C21" i="9"/>
  <c r="C102" i="9"/>
  <c r="G19" i="9"/>
  <c r="E7" i="81"/>
  <c r="D22" i="9"/>
  <c r="D20" i="9"/>
  <c r="D103" i="9"/>
  <c r="G20" i="9"/>
  <c r="D3" i="81"/>
  <c r="D4" i="81"/>
  <c r="E4" i="81"/>
  <c r="C32" i="9"/>
  <c r="G21" i="9"/>
  <c r="D5" i="81"/>
  <c r="E5" i="81"/>
  <c r="E3" i="81"/>
  <c r="D14" i="74"/>
  <c r="D7" i="81"/>
  <c r="C35" i="9"/>
  <c r="F118" i="9"/>
  <c r="H118" i="9"/>
  <c r="H101" i="9"/>
  <c r="H4" i="52"/>
  <c r="H119" i="9"/>
  <c r="H5" i="52"/>
  <c r="C104" i="9"/>
  <c r="I118" i="9"/>
  <c r="G118" i="9"/>
  <c r="G4" i="52"/>
  <c r="B52" i="72"/>
  <c r="F4" i="52"/>
  <c r="B51" i="72"/>
  <c r="F119" i="9"/>
  <c r="F5" i="52"/>
  <c r="B53" i="72"/>
  <c r="F14" i="74"/>
  <c r="B5" i="74"/>
  <c r="E14" i="74"/>
  <c r="C34" i="9"/>
  <c r="D118" i="9"/>
  <c r="H107" i="9"/>
  <c r="D5" i="53"/>
  <c r="D45" i="9"/>
  <c r="M48" i="9"/>
  <c r="D119" i="9"/>
  <c r="D5" i="52"/>
  <c r="B49" i="72"/>
  <c r="D4" i="52"/>
  <c r="B47" i="72"/>
  <c r="D5" i="74"/>
  <c r="C5" i="74"/>
  <c r="H102" i="9"/>
  <c r="D7" i="53"/>
  <c r="B21" i="72"/>
  <c r="I4" i="52"/>
  <c r="C105" i="9"/>
  <c r="E118" i="9"/>
  <c r="E4" i="52"/>
  <c r="B48" i="72"/>
  <c r="D52" i="9"/>
  <c r="D55" i="9"/>
  <c r="M53" i="9"/>
  <c r="C85" i="9"/>
  <c r="C78" i="9"/>
  <c r="C73" i="9"/>
  <c r="C93" i="9"/>
  <c r="C86" i="9"/>
  <c r="C72" i="9"/>
  <c r="C79" i="9"/>
  <c r="C64" i="9"/>
  <c r="C63" i="9"/>
  <c r="C67" i="9"/>
  <c r="C68" i="9"/>
  <c r="D54" i="9"/>
  <c r="D53" i="9"/>
  <c r="H108" i="9"/>
  <c r="D15" i="53"/>
  <c r="B31" i="72"/>
  <c r="D122" i="9"/>
  <c r="D13" i="53"/>
  <c r="D6" i="53"/>
  <c r="B22" i="72"/>
  <c r="B20" i="72"/>
  <c r="B30" i="72"/>
  <c r="D14" i="53"/>
  <c r="B32" i="72"/>
  <c r="D123" i="9"/>
  <c r="D9" i="52"/>
  <c r="G14" i="74"/>
  <c r="B6" i="74"/>
  <c r="D8" i="52"/>
  <c r="C80" i="9"/>
  <c r="E80" i="9"/>
  <c r="E81" i="9"/>
  <c r="C95" i="9"/>
  <c r="C96" i="9"/>
  <c r="E96" i="9"/>
  <c r="E97" i="9"/>
  <c r="C81" i="9"/>
  <c r="C6" i="74"/>
  <c r="D6" i="74"/>
  <c r="C97" i="9"/>
  <c r="D58" i="9"/>
  <c r="D56" i="9"/>
  <c r="M54" i="9"/>
  <c r="N57" i="9"/>
  <c r="N59" i="9"/>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<sst xmlns="http://schemas.openxmlformats.org/spreadsheetml/2006/main" count="8194" uniqueCount="3107">
  <si>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</si>
  <si>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</si>
  <si>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</si>
  <si>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</si>
  <si>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</si>
  <si>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</si>
  <si>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</si>
  <si>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</si>
  <si>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</si>
  <si>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</si>
  <si>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</si>
  <si>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</si>
  <si>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</si>
  <si>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</si>
  <si>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</si>
  <si>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</si>
  <si>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</si>
  <si>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</si>
  <si>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</si>
  <si>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</si>
  <si>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</si>
  <si>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</si>
  <si>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</si>
  <si>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</si>
  <si>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</si>
  <si>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</si>
  <si>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</si>
  <si>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</si>
  <si>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</si>
  <si>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</si>
  <si>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</si>
  <si>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</si>
  <si>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</si>
  <si>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</si>
  <si>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</si>
  <si>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</si>
  <si>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</si>
  <si>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</si>
  <si>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</si>
  <si>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</si>
  <si>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</si>
  <si>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</si>
  <si>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</si>
  <si>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</si>
  <si>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</si>
  <si>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</si>
  <si>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</si>
  <si>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</si>
  <si>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</si>
  <si>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</si>
  <si>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</si>
  <si>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</si>
  <si>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</si>
  <si>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</si>
  <si>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</si>
  <si>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</si>
  <si>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</si>
  <si>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</si>
  <si>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</si>
  <si>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</si>
  <si>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</si>
  <si>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</si>
  <si>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</si>
  <si>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</si>
  <si>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</si>
  <si>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</si>
  <si>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</si>
  <si>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</si>
  <si>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</si>
  <si>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</si>
  <si>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</si>
  <si>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</si>
  <si>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</si>
  <si>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</si>
  <si>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</si>
  <si>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</si>
  <si>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</si>
  <si>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</si>
  <si>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</si>
  <si>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</si>
  <si>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</si>
  <si>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</si>
  <si>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</si>
  <si>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</si>
  <si>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</si>
  <si>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</si>
  <si>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</si>
  <si>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</si>
  <si>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</si>
  <si>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</si>
  <si>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</si>
  <si>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</si>
  <si>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</si>
  <si>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</si>
  <si>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</si>
  <si>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</si>
  <si>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</si>
  <si>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</si>
  <si>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</si>
  <si>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</si>
  <si>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</si>
  <si>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</si>
  <si>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</si>
  <si>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</si>
  <si>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</si>
  <si>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</si>
  <si>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</si>
  <si>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</si>
  <si>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</si>
  <si>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</si>
  <si>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</si>
  <si>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</si>
  <si>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</si>
  <si>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</si>
  <si>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</si>
  <si>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</si>
  <si>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</si>
  <si>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</si>
  <si>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</si>
  <si>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</si>
  <si>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</si>
  <si>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</si>
  <si>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</si>
  <si>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</si>
  <si>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</si>
  <si>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</si>
  <si>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</si>
  <si>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</si>
  <si>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</si>
  <si>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</si>
  <si>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</si>
  <si>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</si>
  <si>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</si>
  <si>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</si>
  <si>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</si>
  <si>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</si>
  <si>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</si>
  <si>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</si>
  <si>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</si>
  <si>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</si>
  <si>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</si>
  <si>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</si>
  <si>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</si>
  <si>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</si>
  <si>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</si>
  <si>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</si>
  <si>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</si>
  <si>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</si>
  <si>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</si>
  <si>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</si>
  <si>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</si>
  <si>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</si>
  <si>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</si>
  <si>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</si>
  <si>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</si>
  <si>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</si>
  <si>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</si>
  <si>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</si>
  <si>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</si>
  <si>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</si>
  <si>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</si>
  <si>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</si>
  <si>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</si>
  <si>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</si>
  <si>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</si>
  <si>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</si>
  <si>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</si>
  <si>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</si>
  <si>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</si>
  <si>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</si>
  <si>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</si>
  <si>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</si>
  <si>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</si>
  <si>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</si>
  <si>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</si>
  <si>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</si>
  <si>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</si>
  <si>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</si>
  <si>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</si>
  <si>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</si>
  <si>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</si>
  <si>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</si>
  <si>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</si>
  <si>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</si>
  <si>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</si>
  <si>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</si>
  <si>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</si>
  <si>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</si>
  <si>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</si>
  <si>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</si>
  <si>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</si>
  <si>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</si>
  <si>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</si>
  <si>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</si>
  <si>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</si>
  <si>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</si>
  <si>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</si>
  <si>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</si>
  <si>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</si>
  <si>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</si>
  <si>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</si>
  <si>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</si>
  <si>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</si>
  <si>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</si>
  <si>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</si>
  <si>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</si>
  <si>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</si>
  <si>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</si>
  <si>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</si>
  <si>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</si>
  <si>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</si>
  <si>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</si>
  <si>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</si>
  <si>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</si>
  <si>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</si>
  <si>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</si>
  <si>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</si>
  <si>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</si>
  <si>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</si>
  <si>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</si>
  <si>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</si>
  <si>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</si>
  <si>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</si>
  <si>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</si>
  <si>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</si>
  <si>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</si>
  <si>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</si>
  <si>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</si>
  <si>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</si>
  <si>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</si>
  <si>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</si>
  <si>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</si>
  <si>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</si>
  <si>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</si>
  <si>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</si>
  <si>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</si>
  <si>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</si>
  <si>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</si>
  <si>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</si>
  <si>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</si>
  <si>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</si>
  <si>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</si>
  <si>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</si>
  <si>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</si>
  <si>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</si>
  <si>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</si>
  <si>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</si>
  <si>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</si>
  <si>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</si>
  <si>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</si>
  <si>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</si>
  <si>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</si>
  <si>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</si>
  <si>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</si>
  <si>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</si>
  <si>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</si>
  <si>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</si>
  <si>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</si>
  <si>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</si>
  <si>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</si>
  <si>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</si>
  <si>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</si>
  <si>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</si>
  <si>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</si>
  <si>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</si>
  <si>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</si>
  <si>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</si>
  <si>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</si>
  <si>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</si>
  <si>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</si>
  <si>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</si>
  <si>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</si>
  <si>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</si>
  <si>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</si>
  <si>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</si>
  <si>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</si>
  <si>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</si>
  <si>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</si>
  <si>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</si>
  <si>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</si>
  <si>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</si>
  <si>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</si>
  <si>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</si>
  <si>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</si>
  <si>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</si>
  <si>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</si>
  <si>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</si>
  <si>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</si>
  <si>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</si>
  <si>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</si>
  <si>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</si>
  <si>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</si>
  <si>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</si>
  <si>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</si>
  <si>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</si>
  <si>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</si>
  <si>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</si>
  <si>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</si>
  <si>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</si>
  <si>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</si>
  <si>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</si>
  <si>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</si>
  <si>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</si>
  <si>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</si>
  <si>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</si>
  <si>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</si>
  <si>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</si>
  <si>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</si>
  <si>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</si>
  <si>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</si>
  <si>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</si>
  <si>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</si>
  <si>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</si>
  <si>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</si>
  <si>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</si>
  <si>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</si>
  <si>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</si>
  <si>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</si>
  <si>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</si>
  <si>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</si>
  <si>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</si>
  <si>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</si>
  <si>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</si>
  <si>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</si>
  <si>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</si>
  <si>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</si>
  <si>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</si>
  <si>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</si>
  <si>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</si>
  <si>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</si>
  <si>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</si>
  <si>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</si>
  <si>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</si>
  <si>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</si>
  <si>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</si>
  <si>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</si>
  <si>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</si>
  <si>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</si>
  <si>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</si>
  <si>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</si>
  <si>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</si>
  <si>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</si>
  <si>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</si>
  <si>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</si>
  <si>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</si>
  <si>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</si>
  <si>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</si>
  <si>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</si>
  <si>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</si>
  <si>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</si>
  <si>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</si>
  <si>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</si>
  <si>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</si>
  <si>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</si>
  <si>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</si>
  <si>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</si>
  <si>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</si>
  <si>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</si>
  <si>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</si>
  <si>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</si>
  <si>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</si>
  <si>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</si>
  <si>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</si>
  <si>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</si>
  <si>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</si>
  <si>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</si>
  <si>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</si>
  <si>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</si>
  <si>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</si>
  <si>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</si>
  <si>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</si>
  <si>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</si>
  <si>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</si>
  <si>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</si>
  <si>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</si>
  <si>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</si>
  <si>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</si>
  <si>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</si>
  <si>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</si>
  <si>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</si>
  <si>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</si>
  <si>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</si>
  <si>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</si>
  <si>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</si>
  <si>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</si>
  <si>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</si>
  <si>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</si>
  <si>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</si>
  <si>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</si>
  <si>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</si>
  <si>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</si>
  <si>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</si>
  <si>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</si>
  <si>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</si>
  <si>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</si>
  <si>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</si>
  <si>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</si>
  <si>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</si>
  <si>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</si>
  <si>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</si>
  <si>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</si>
  <si>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</si>
  <si>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</si>
  <si>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</si>
  <si>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</si>
  <si>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</si>
  <si>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</si>
  <si>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</si>
  <si>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</si>
  <si>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</si>
  <si>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</si>
  <si>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</si>
  <si>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</si>
  <si>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</si>
  <si>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</si>
  <si>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</si>
  <si>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</si>
  <si>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</si>
  <si>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</si>
  <si>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</si>
  <si>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</si>
  <si>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</si>
  <si>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</si>
  <si>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</si>
  <si>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</si>
  <si>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</si>
  <si>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</si>
  <si>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</si>
  <si>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</si>
  <si>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</si>
  <si>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</si>
  <si>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</si>
  <si>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</si>
  <si>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</si>
  <si>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</si>
  <si>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</si>
  <si>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</si>
  <si>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</si>
  <si>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</si>
  <si>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</si>
  <si>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</si>
  <si>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</si>
  <si>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</si>
  <si>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</si>
  <si>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</si>
  <si>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</si>
  <si>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</si>
  <si>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</si>
  <si>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</si>
  <si>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</si>
  <si>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</si>
  <si>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</si>
  <si>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</si>
  <si>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</si>
  <si>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</si>
  <si>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</si>
  <si>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</si>
  <si>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</si>
  <si>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</si>
  <si>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</si>
  <si>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</si>
  <si>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</si>
  <si>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</si>
  <si>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</si>
  <si>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</si>
  <si>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</si>
  <si>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</si>
  <si>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</si>
  <si>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</si>
  <si>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</si>
  <si>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</si>
  <si>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</si>
  <si>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</si>
  <si>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</si>
  <si>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</si>
  <si>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</si>
  <si>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</si>
  <si>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</si>
  <si>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</si>
  <si>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</si>
  <si>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</si>
  <si>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</si>
  <si>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</si>
  <si>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</si>
  <si>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</si>
  <si>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</si>
  <si>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</si>
  <si>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</si>
  <si>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</si>
  <si>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</si>
  <si>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</si>
  <si>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</si>
  <si>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</si>
  <si>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</si>
  <si>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</si>
  <si>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</si>
  <si>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</si>
  <si>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</si>
  <si>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</si>
  <si>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</si>
  <si>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</si>
  <si>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</si>
  <si>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</si>
  <si>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</si>
  <si>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</si>
  <si>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</si>
  <si>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</si>
  <si>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</si>
  <si>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</si>
  <si>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</si>
  <si>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</si>
  <si>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</si>
  <si>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</si>
  <si>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</si>
  <si>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</si>
  <si>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</si>
  <si>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</si>
  <si>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</si>
  <si>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</si>
  <si>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</si>
  <si>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</si>
  <si>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</si>
  <si>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</si>
  <si>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</si>
  <si>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</si>
  <si>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</si>
  <si>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</si>
  <si>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</si>
  <si>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</si>
  <si>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</si>
  <si>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</si>
  <si>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</si>
  <si>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</si>
  <si>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</si>
  <si>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</si>
  <si>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</si>
  <si>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</si>
  <si>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</si>
  <si>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</si>
  <si>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</si>
  <si>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</si>
  <si>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</si>
  <si>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</si>
  <si>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</si>
  <si>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</si>
  <si>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</si>
  <si>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</si>
  <si>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</si>
  <si>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</si>
  <si>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</si>
  <si>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</si>
  <si>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</si>
  <si>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</si>
  <si>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</si>
  <si>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</si>
  <si>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</si>
  <si>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</si>
  <si>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</si>
  <si>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</si>
  <si>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</si>
  <si>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</si>
  <si>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</si>
  <si>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</si>
  <si>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</si>
  <si>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</si>
  <si>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</si>
  <si>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</si>
  <si>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</si>
  <si>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</si>
  <si>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</si>
  <si>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</si>
  <si>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</si>
  <si>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</si>
  <si>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</si>
  <si>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</si>
  <si>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</si>
  <si>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</si>
  <si>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</si>
  <si>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</si>
  <si>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</si>
  <si>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</si>
  <si>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</si>
  <si>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</si>
  <si>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</si>
  <si>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</si>
  <si>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</si>
  <si>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</si>
  <si>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</si>
  <si>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</si>
  <si>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</si>
  <si>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</si>
  <si>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</si>
  <si>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</si>
  <si>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</si>
  <si>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</si>
  <si>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</si>
  <si>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</si>
  <si>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</si>
  <si>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</si>
  <si>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</si>
  <si>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</si>
  <si>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</si>
  <si>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</si>
  <si>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</si>
  <si>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</si>
  <si>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</si>
  <si>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</si>
  <si>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</si>
  <si>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</si>
  <si>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</si>
  <si>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</si>
  <si>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</si>
  <si>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</si>
  <si>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</si>
  <si>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</si>
  <si>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</si>
  <si>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</si>
  <si>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</si>
  <si>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</si>
  <si>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</si>
  <si>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</si>
  <si>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</si>
  <si>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</si>
  <si>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</si>
  <si>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</si>
  <si>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</si>
  <si>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</si>
  <si>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</si>
  <si>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</si>
  <si>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</si>
  <si>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</si>
  <si>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</si>
  <si>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</si>
  <si>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</si>
  <si>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</si>
  <si>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</si>
  <si>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</si>
  <si>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</si>
  <si>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</si>
  <si>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</si>
  <si>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</si>
  <si>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</si>
  <si>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</si>
  <si>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</si>
  <si>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</si>
  <si>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</si>
  <si>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</si>
  <si>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</si>
  <si>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</si>
  <si>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</si>
  <si>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</si>
  <si>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</si>
  <si>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</si>
  <si>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</si>
  <si>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</si>
  <si>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</si>
  <si>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</si>
  <si>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</si>
  <si>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</si>
  <si>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</si>
  <si>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</si>
  <si>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</si>
  <si>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</si>
  <si>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</si>
  <si>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</si>
  <si>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</si>
  <si>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</si>
  <si>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</si>
  <si>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</si>
  <si>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</si>
  <si>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</si>
  <si>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</si>
  <si>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</si>
  <si>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</si>
  <si>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</si>
  <si>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</si>
  <si>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</si>
  <si>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</si>
  <si>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</si>
  <si>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</si>
  <si>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</si>
  <si>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</si>
  <si>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</si>
  <si>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</si>
  <si>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</si>
  <si>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</si>
  <si>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</si>
  <si>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</si>
  <si>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</si>
  <si>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</si>
  <si>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</si>
  <si>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</si>
  <si>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</si>
  <si>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</si>
  <si>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</si>
  <si>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</si>
  <si>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</si>
  <si>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</si>
  <si>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</si>
  <si>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</si>
  <si>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</si>
  <si>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</si>
  <si>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</si>
  <si>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</si>
  <si>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</si>
  <si>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</si>
  <si>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</si>
  <si>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</si>
  <si>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</si>
  <si>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</si>
  <si>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</si>
  <si>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</si>
  <si>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</si>
  <si>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</si>
  <si>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</si>
  <si>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</si>
  <si>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</si>
  <si>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</si>
  <si>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</si>
  <si>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</si>
  <si>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</si>
  <si>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</si>
  <si>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</si>
  <si>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</si>
  <si>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</si>
  <si>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</si>
  <si>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</si>
  <si>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</si>
  <si>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</si>
  <si>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</si>
  <si>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</si>
  <si>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</si>
  <si>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</si>
  <si>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</si>
  <si>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</si>
  <si>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</si>
  <si>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</si>
  <si>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</si>
  <si>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</si>
  <si>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</si>
  <si>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</si>
  <si>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</si>
  <si>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</si>
  <si>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</si>
  <si>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</si>
  <si>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</si>
  <si>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</si>
  <si>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</si>
  <si>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</si>
  <si>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</si>
  <si>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</si>
  <si>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</si>
  <si>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</si>
  <si>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</si>
  <si>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</si>
  <si>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</si>
  <si>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</si>
  <si>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</si>
  <si>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</si>
  <si>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</si>
  <si>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</si>
  <si>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</si>
  <si>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</si>
  <si>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</si>
  <si>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</si>
  <si>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</si>
  <si>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</si>
  <si>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</si>
  <si>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</si>
  <si>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</si>
  <si>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</si>
  <si>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</si>
  <si>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</si>
  <si>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</si>
  <si>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</si>
  <si>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</si>
  <si>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</si>
  <si>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</si>
  <si>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</si>
  <si>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</si>
  <si>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</si>
  <si>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</si>
  <si>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</si>
  <si>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</si>
  <si>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</si>
  <si>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</si>
  <si>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</si>
  <si>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</si>
  <si>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</si>
  <si>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</si>
  <si>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</si>
  <si>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</si>
  <si>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</si>
  <si>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</si>
  <si>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</si>
  <si>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</si>
  <si>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</si>
  <si>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</si>
  <si>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</si>
  <si>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</si>
  <si>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</si>
  <si>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</si>
  <si>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</si>
  <si>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</si>
  <si>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</si>
  <si>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</si>
  <si>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</si>
  <si>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</si>
  <si>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</si>
  <si>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</si>
  <si>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</si>
  <si>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</si>
  <si>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</si>
  <si>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</si>
  <si>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</si>
  <si>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</si>
  <si>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</si>
  <si>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</si>
  <si>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</si>
  <si>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</si>
  <si>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</si>
  <si>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</si>
  <si>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</si>
  <si>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</si>
  <si>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</si>
  <si>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</si>
  <si>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</si>
  <si>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</si>
  <si>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</si>
  <si>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</si>
  <si>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</si>
  <si>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</si>
  <si>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</si>
  <si>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</si>
  <si>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</si>
  <si>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</si>
  <si>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</si>
  <si>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</si>
  <si>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</si>
  <si>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</si>
  <si>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</si>
  <si>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</si>
  <si>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</si>
  <si>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</si>
  <si>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</si>
  <si>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</si>
  <si>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</si>
  <si>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</si>
  <si>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</si>
  <si>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</si>
  <si>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</si>
  <si>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</si>
  <si>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</si>
  <si>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</si>
  <si>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</si>
  <si>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</si>
  <si>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</si>
  <si>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</si>
  <si>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</si>
  <si>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</si>
  <si>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</si>
  <si>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</si>
  <si>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</si>
  <si>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</si>
  <si>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</si>
  <si>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</si>
  <si>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</si>
  <si>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</si>
  <si>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</si>
  <si>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</si>
  <si>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</si>
  <si>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</si>
  <si>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</si>
  <si>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</si>
  <si>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</si>
  <si>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</si>
  <si>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</si>
  <si>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</si>
  <si>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</si>
  <si>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</si>
  <si>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</si>
  <si>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</si>
  <si>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</si>
  <si>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</si>
  <si>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</si>
  <si>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</si>
  <si>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</si>
  <si>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</si>
  <si>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</si>
  <si>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</si>
  <si>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</si>
  <si>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</si>
  <si>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</si>
  <si>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</si>
  <si>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</si>
  <si>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</si>
  <si>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</si>
  <si>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</si>
  <si>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</si>
  <si>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</si>
  <si>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</si>
  <si>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</si>
  <si>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</si>
  <si>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</si>
  <si>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</si>
  <si>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</si>
  <si>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</si>
  <si>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</si>
  <si>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</si>
  <si>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</si>
  <si>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</si>
  <si>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</si>
  <si>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</si>
  <si>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</si>
  <si>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</si>
  <si>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</si>
  <si>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</si>
  <si>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</si>
  <si>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</si>
  <si>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</si>
  <si>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</si>
  <si>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</si>
  <si>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</si>
  <si>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</si>
  <si>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</si>
  <si>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</si>
  <si>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</si>
  <si>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</si>
  <si>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</si>
  <si>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</si>
  <si>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</si>
  <si>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</si>
  <si>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</si>
  <si>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</si>
  <si>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</si>
  <si>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</si>
  <si>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</si>
  <si>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</si>
  <si>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</si>
  <si>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</si>
  <si>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</si>
  <si>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</si>
  <si>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</si>
  <si>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</si>
  <si>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</si>
  <si>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</si>
  <si>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</si>
  <si>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</si>
  <si>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</si>
  <si>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</si>
  <si>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</si>
  <si>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</si>
  <si>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</si>
  <si>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</si>
  <si>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</si>
  <si>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</si>
  <si>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</si>
  <si>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</si>
  <si>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</si>
  <si>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</si>
  <si>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</si>
  <si>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</si>
  <si>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</si>
  <si>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</si>
  <si>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</si>
  <si>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</si>
  <si>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</si>
  <si>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</si>
  <si>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</si>
  <si>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</si>
  <si>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</si>
  <si>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</si>
  <si>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</si>
  <si>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</si>
  <si>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</si>
  <si>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</si>
  <si>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</si>
  <si>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</si>
  <si>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</si>
  <si>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</si>
  <si>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</si>
  <si>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</si>
  <si>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</si>
  <si>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</si>
  <si>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</si>
  <si>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</si>
  <si>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</si>
  <si>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</si>
  <si>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</si>
  <si>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</si>
  <si>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</si>
  <si>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</si>
  <si>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</si>
  <si>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</si>
  <si>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</si>
  <si>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</si>
  <si>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</si>
  <si>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</si>
  <si>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</si>
  <si>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</si>
  <si>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</si>
  <si>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</si>
  <si>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</si>
  <si>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</si>
  <si>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</si>
  <si>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</si>
  <si>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</si>
  <si>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</si>
  <si>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</si>
  <si>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</si>
  <si>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</si>
  <si>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</si>
  <si>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</si>
  <si>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</si>
  <si>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</si>
  <si>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</si>
  <si>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</si>
  <si>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</si>
  <si>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</si>
  <si>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</si>
  <si>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</si>
  <si>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</si>
  <si>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</si>
  <si>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</si>
  <si>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</si>
  <si>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</si>
  <si>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</si>
  <si>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</si>
  <si>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</si>
  <si>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</si>
  <si>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</si>
  <si>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</si>
  <si>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</si>
  <si>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</si>
  <si>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</si>
  <si>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</si>
  <si>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</si>
  <si>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</si>
  <si>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</si>
  <si>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</si>
  <si>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</si>
  <si>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</si>
  <si>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</si>
  <si>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</si>
  <si>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</si>
  <si>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</si>
  <si>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</si>
  <si>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</si>
  <si>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</si>
  <si>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</si>
  <si>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</si>
  <si>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</si>
  <si>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</si>
  <si>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</si>
  <si>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</si>
  <si>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</si>
  <si>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</si>
  <si>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</si>
  <si>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</si>
  <si>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</si>
  <si>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</si>
  <si>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</si>
  <si>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</si>
  <si>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</si>
  <si>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</si>
  <si>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</si>
  <si>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</si>
  <si>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</si>
  <si>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</si>
  <si>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</si>
  <si>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</si>
  <si>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</si>
  <si>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</si>
  <si>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</si>
  <si>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</si>
  <si>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</si>
  <si>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</si>
  <si>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</si>
  <si>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</si>
  <si>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</si>
  <si>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</si>
  <si>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</si>
  <si>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</si>
  <si>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</si>
  <si>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</si>
  <si>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</si>
  <si>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</si>
  <si>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</si>
  <si>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</si>
  <si>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</si>
  <si>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</si>
  <si>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</si>
  <si>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</si>
  <si>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</si>
  <si>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</si>
  <si>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</si>
  <si>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</si>
  <si>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</si>
  <si>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</si>
  <si>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</si>
  <si>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</si>
  <si>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</si>
  <si>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</si>
  <si>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</si>
  <si>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</si>
  <si>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</si>
  <si>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</si>
  <si>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</si>
  <si>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</si>
  <si>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</si>
  <si>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</si>
  <si>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</si>
  <si>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</si>
  <si>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</si>
  <si>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</si>
  <si>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</si>
  <si>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</si>
  <si>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</si>
  <si>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</si>
  <si>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</si>
  <si>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</si>
  <si>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</si>
  <si>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</si>
  <si>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</si>
  <si>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</si>
  <si>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</si>
  <si>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</si>
  <si>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</si>
  <si>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</si>
  <si>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</si>
  <si>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</si>
  <si>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</si>
  <si>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</si>
  <si>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</si>
  <si>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</si>
  <si>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</si>
  <si>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</si>
  <si>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</si>
  <si>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</si>
  <si>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</si>
  <si>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</si>
  <si>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</si>
  <si>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</si>
  <si>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</si>
  <si>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</si>
  <si>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</si>
  <si>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</si>
  <si>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</si>
  <si>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</si>
  <si>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</si>
  <si>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</si>
  <si>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</si>
  <si>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</si>
  <si>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</si>
  <si>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</si>
  <si>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</si>
  <si>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</si>
  <si>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</si>
  <si>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</si>
  <si>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</si>
  <si>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</si>
  <si>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</si>
  <si>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</si>
  <si>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</si>
  <si>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</si>
  <si>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</si>
  <si>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</si>
  <si>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</si>
  <si>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</si>
  <si>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</si>
  <si>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</si>
  <si>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</si>
  <si>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</si>
  <si>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</si>
  <si>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</si>
  <si>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</si>
  <si>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</si>
  <si>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</si>
  <si>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</si>
  <si>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</si>
  <si>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</si>
  <si>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</si>
  <si>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</si>
  <si>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</si>
  <si>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</si>
  <si>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</si>
  <si>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</si>
  <si>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</si>
  <si>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</si>
  <si>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</si>
  <si>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</si>
  <si>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</si>
  <si>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</si>
  <si>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</si>
  <si>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</si>
  <si>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</si>
  <si>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</si>
  <si>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</si>
  <si>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</si>
  <si>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</si>
  <si>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</si>
  <si>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</si>
  <si>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</si>
  <si>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</si>
  <si>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</si>
  <si>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</si>
  <si>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</si>
  <si>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</si>
  <si>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</si>
  <si>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</si>
  <si>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</si>
  <si>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</si>
  <si>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</si>
  <si>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</si>
  <si>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</si>
  <si>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</si>
  <si>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</si>
  <si>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</si>
  <si>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</si>
  <si>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</si>
  <si>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</si>
  <si>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</si>
  <si>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</si>
  <si>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</si>
  <si>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</si>
  <si>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</si>
  <si>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</si>
  <si>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</si>
  <si>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</si>
  <si>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</si>
  <si>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</si>
  <si>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</si>
  <si>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</si>
  <si>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</si>
  <si>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</si>
  <si>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</si>
  <si>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</si>
  <si>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</si>
  <si>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</si>
  <si>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</si>
  <si>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</si>
  <si>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</si>
  <si>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</si>
  <si>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</si>
  <si>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</si>
  <si>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</si>
  <si>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</si>
  <si>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</si>
  <si>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</si>
  <si>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</si>
  <si>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</si>
  <si>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</si>
  <si>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</si>
  <si>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</si>
  <si>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</si>
  <si>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</si>
  <si>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</si>
  <si>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</si>
  <si>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</si>
  <si>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</si>
  <si>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</si>
  <si>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</si>
  <si>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</si>
  <si>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</si>
  <si>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</si>
  <si>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</si>
  <si>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</si>
  <si>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</si>
  <si>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</si>
  <si>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</si>
  <si>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</si>
  <si>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</si>
  <si>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</si>
  <si>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</si>
  <si>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</si>
  <si>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</si>
  <si>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</si>
  <si>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</si>
  <si>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</si>
  <si>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</si>
  <si>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</si>
  <si>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</si>
  <si>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</si>
  <si>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</si>
  <si>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</si>
  <si>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</si>
  <si>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</si>
  <si>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</si>
  <si>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</si>
  <si>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</si>
  <si>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</si>
  <si>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</si>
  <si>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</si>
  <si>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</si>
  <si>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</si>
  <si>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</si>
  <si>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</si>
  <si>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</si>
  <si>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</si>
  <si>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</si>
  <si>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</si>
  <si>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</si>
  <si>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</si>
  <si>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</si>
  <si>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</si>
  <si>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</si>
  <si>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</si>
  <si>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</si>
  <si>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</si>
  <si>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</si>
  <si>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</si>
  <si>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</si>
  <si>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</si>
  <si>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</si>
  <si>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</si>
  <si>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</si>
  <si>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</si>
  <si>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</si>
  <si>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</si>
  <si>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</si>
  <si>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</si>
  <si>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</si>
  <si>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</si>
  <si>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</si>
  <si>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</si>
  <si>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</si>
  <si>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</si>
  <si>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</si>
  <si>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</si>
  <si>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</si>
  <si>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</si>
  <si>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</si>
  <si>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</si>
  <si>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</si>
  <si>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</si>
  <si>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</si>
  <si>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</si>
  <si>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</si>
  <si>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</si>
  <si>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</si>
  <si>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</si>
  <si>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</si>
  <si>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</si>
  <si>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</si>
  <si>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</si>
  <si>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</si>
  <si>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</si>
  <si>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</si>
  <si>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</si>
  <si>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</si>
  <si>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</si>
  <si>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</si>
  <si>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</si>
  <si>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</si>
  <si>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</si>
  <si>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</si>
  <si>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</si>
  <si>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</si>
  <si>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</si>
  <si>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</si>
  <si>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</si>
  <si>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</si>
  <si>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</si>
  <si>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</si>
  <si>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</si>
  <si>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</si>
  <si>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</si>
  <si>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</si>
  <si>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</si>
  <si>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</si>
  <si>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</si>
  <si>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</si>
  <si>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</si>
  <si>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</si>
  <si>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</si>
  <si>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</si>
  <si>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</si>
  <si>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</si>
  <si>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</si>
  <si>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</si>
  <si>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</si>
  <si>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</si>
  <si>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</si>
  <si>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</si>
  <si>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</si>
  <si>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</si>
  <si>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</si>
  <si>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</si>
  <si>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</si>
  <si>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</si>
  <si>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</si>
  <si>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</si>
  <si>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</si>
  <si>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</si>
  <si>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</si>
  <si>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</si>
  <si>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</si>
  <si>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</si>
  <si>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</si>
  <si>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</si>
  <si>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</si>
  <si>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</si>
  <si>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</si>
  <si>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</si>
  <si>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</si>
  <si>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</si>
  <si>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</si>
  <si>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</si>
  <si>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</si>
  <si>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</si>
  <si>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</si>
  <si>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</si>
  <si>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</si>
  <si>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</si>
  <si>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</si>
  <si>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</si>
  <si>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</si>
  <si>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</si>
  <si>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</si>
  <si>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</si>
  <si>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</si>
  <si>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</si>
  <si>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</si>
  <si>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</si>
  <si>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</si>
  <si>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</si>
  <si>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</si>
  <si>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</si>
  <si>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</si>
  <si>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</si>
  <si>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</si>
  <si>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</si>
  <si>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</si>
  <si>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</si>
  <si>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</si>
  <si>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</si>
  <si>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</si>
  <si>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</si>
  <si>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</si>
  <si>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</si>
  <si>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</si>
  <si>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</si>
  <si>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</si>
  <si>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</si>
  <si>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</si>
  <si>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</si>
  <si>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</si>
  <si>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</si>
  <si>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</si>
  <si>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</si>
  <si>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</si>
  <si>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</si>
  <si>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</si>
  <si>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</si>
  <si>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</si>
  <si>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</si>
  <si>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</si>
  <si>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</si>
  <si>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</si>
  <si>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</si>
  <si>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</si>
  <si>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</si>
  <si>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</si>
  <si>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</si>
  <si>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</si>
  <si>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</si>
  <si>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</si>
  <si>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</si>
  <si>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</si>
  <si>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</si>
  <si>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</si>
  <si>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</si>
  <si>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</si>
  <si>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</si>
  <si>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</si>
  <si>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</si>
  <si>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</si>
  <si>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</si>
  <si>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</si>
  <si>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</si>
  <si>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</si>
  <si>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</si>
  <si>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</si>
  <si>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</si>
  <si>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</si>
  <si>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</si>
  <si>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</si>
  <si>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</si>
  <si>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</si>
  <si>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</si>
  <si>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</si>
  <si>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</si>
  <si>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</si>
  <si>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</si>
  <si>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</si>
  <si>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</si>
  <si>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</si>
  <si>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</si>
  <si>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</si>
  <si>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</si>
  <si>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</si>
  <si>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</si>
  <si>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</si>
  <si>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</si>
  <si>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</si>
  <si>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</si>
  <si>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</si>
  <si>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</si>
  <si>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</si>
  <si>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</si>
  <si>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</si>
  <si>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</si>
  <si>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</si>
  <si>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</si>
  <si>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</si>
  <si>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</si>
  <si>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</si>
  <si>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</si>
  <si>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</si>
  <si>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</si>
  <si>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</si>
  <si>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</si>
  <si>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</si>
  <si>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</si>
  <si>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</si>
  <si>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</si>
  <si>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</si>
  <si>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</si>
  <si>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</si>
  <si>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</si>
  <si>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</si>
  <si>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</si>
  <si>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</si>
  <si>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</si>
  <si>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</si>
  <si>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</si>
  <si>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</si>
  <si>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</si>
  <si>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</si>
  <si>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</si>
  <si>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</si>
  <si>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</si>
  <si>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</si>
  <si>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</si>
  <si>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</si>
  <si>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</si>
  <si>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</si>
  <si>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</si>
  <si>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</si>
  <si>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</si>
  <si>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</si>
  <si>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</si>
  <si>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</si>
  <si>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</si>
  <si>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</si>
  <si>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</si>
  <si>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</si>
  <si>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</si>
  <si>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</si>
  <si>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</si>
  <si>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</si>
  <si>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</si>
  <si>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</si>
  <si>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</si>
  <si>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</si>
  <si>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</si>
  <si>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</si>
  <si>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</si>
  <si>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</si>
  <si>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</si>
  <si>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</si>
  <si>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</si>
  <si>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</si>
  <si>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</si>
  <si>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</si>
  <si>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</si>
  <si>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</si>
  <si>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</si>
  <si>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</si>
  <si>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</si>
  <si>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</si>
  <si>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</si>
  <si>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</si>
  <si>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</si>
  <si>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</si>
  <si>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</si>
  <si>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</si>
  <si>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</si>
  <si>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</si>
  <si>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</si>
  <si>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</si>
  <si>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</si>
  <si>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</si>
  <si>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</si>
  <si>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</si>
  <si>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</si>
  <si>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</si>
  <si>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</si>
  <si>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</si>
  <si>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</si>
  <si>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</si>
  <si>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</si>
  <si>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</si>
  <si>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</si>
  <si>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</si>
  <si>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</si>
  <si>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</si>
  <si>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</si>
  <si>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</si>
  <si>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</si>
  <si>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</si>
  <si>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</si>
  <si>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</si>
  <si>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</si>
  <si>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</si>
  <si>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</si>
  <si>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</si>
  <si>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</si>
  <si>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</si>
  <si>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</si>
  <si>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</si>
  <si>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</si>
  <si>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</si>
  <si>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</si>
  <si>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</si>
  <si>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</si>
  <si>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</si>
  <si>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</si>
  <si>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</si>
  <si>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</si>
  <si>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</si>
  <si>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</si>
  <si>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</si>
  <si>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</si>
  <si>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</si>
  <si>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</si>
  <si>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</si>
  <si>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</si>
  <si>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</si>
  <si>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</si>
  <si>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</si>
  <si>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</si>
  <si>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</si>
  <si>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</si>
  <si>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</si>
  <si>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</si>
  <si>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</si>
  <si>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</si>
  <si>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</si>
  <si>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</si>
  <si>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</si>
  <si>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</si>
  <si>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</si>
  <si>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</si>
  <si>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</si>
  <si>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</si>
  <si>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</si>
  <si>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</si>
  <si>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</si>
  <si>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</si>
  <si>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</si>
  <si>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</si>
  <si>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</si>
  <si>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</si>
  <si>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</si>
  <si>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</si>
  <si>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</si>
  <si>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</si>
  <si>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</si>
  <si>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</si>
  <si>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</si>
  <si>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</si>
  <si>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</si>
  <si>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</si>
  <si>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</si>
  <si>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</si>
  <si>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</si>
  <si>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</si>
  <si>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</si>
  <si>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</si>
  <si>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</si>
  <si>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</si>
  <si>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</si>
  <si>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</si>
  <si>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</si>
  <si>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</si>
  <si>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</si>
  <si>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</si>
  <si>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</si>
  <si>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</si>
  <si>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</si>
  <si>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</si>
  <si>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</si>
  <si>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</si>
  <si>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</si>
  <si>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</si>
  <si>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</si>
  <si>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</si>
  <si>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</si>
  <si>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</si>
  <si>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</si>
  <si>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</si>
  <si>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</si>
  <si>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</si>
  <si>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</si>
  <si>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</si>
  <si>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</si>
  <si>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</si>
  <si>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</si>
  <si>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</si>
  <si>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</si>
  <si>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</si>
  <si>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</si>
  <si>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</si>
  <si>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</si>
  <si>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</si>
  <si>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</si>
  <si>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</si>
  <si>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</si>
  <si>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</si>
  <si>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</si>
  <si>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</si>
  <si>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</si>
  <si>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</si>
  <si>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</si>
  <si>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</si>
  <si>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</si>
  <si>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</si>
  <si>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</si>
  <si>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</si>
  <si>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</si>
  <si>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</si>
  <si>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</si>
  <si>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</si>
  <si>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</si>
  <si>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</si>
  <si>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</si>
  <si>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</si>
  <si>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</si>
  <si>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</si>
  <si>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</si>
  <si>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</si>
  <si>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</si>
  <si>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</si>
  <si>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</si>
  <si>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</si>
  <si>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</si>
  <si>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</si>
  <si>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</si>
  <si>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</si>
  <si>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</si>
  <si>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</si>
  <si>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</si>
  <si>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</si>
  <si>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</si>
  <si>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</si>
  <si>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</si>
  <si>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</si>
  <si>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</si>
  <si>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</si>
  <si>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</si>
  <si>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</si>
  <si>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</si>
  <si>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</si>
  <si>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</si>
  <si>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</si>
  <si>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</si>
  <si>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</si>
  <si>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</si>
  <si>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</si>
  <si>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</si>
  <si>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</si>
  <si>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</si>
  <si>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</si>
  <si>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</si>
  <si>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</si>
  <si>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</si>
  <si>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</si>
  <si>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</si>
  <si>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</si>
  <si>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</si>
  <si>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</si>
  <si>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</si>
  <si>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</si>
  <si>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</si>
  <si>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</si>
  <si>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</si>
  <si>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</si>
  <si>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</si>
  <si>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</si>
  <si>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</si>
  <si>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</si>
  <si>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</si>
  <si>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</si>
  <si>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</si>
  <si>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</si>
  <si>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</si>
  <si>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</si>
  <si>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</si>
  <si>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</si>
  <si>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</si>
  <si>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</si>
  <si>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</si>
  <si>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</si>
  <si>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</si>
  <si>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</si>
  <si>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</si>
  <si>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</si>
  <si>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</si>
  <si>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</si>
  <si>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</si>
  <si>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</si>
  <si>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</si>
  <si>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</si>
  <si>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</si>
  <si>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</si>
  <si>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</si>
  <si>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</si>
  <si>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</si>
  <si>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</si>
  <si>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</si>
  <si>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</si>
  <si>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</si>
  <si>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</si>
  <si>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</si>
  <si>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</si>
  <si>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</si>
  <si>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</si>
  <si>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</si>
  <si>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</si>
  <si>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</si>
  <si>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</si>
  <si>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</si>
  <si>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</si>
  <si>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</si>
  <si>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</si>
  <si>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</si>
  <si>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</si>
  <si>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</si>
  <si>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</si>
  <si>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</si>
  <si>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</si>
  <si>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</si>
  <si>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</si>
  <si>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</si>
  <si>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</si>
  <si>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</si>
  <si>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</si>
  <si>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</si>
  <si>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</si>
  <si>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</si>
  <si>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</si>
  <si>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</si>
  <si>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</si>
  <si>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</si>
  <si>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</si>
  <si>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</si>
  <si>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</si>
  <si>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</si>
  <si>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</si>
  <si>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</si>
  <si>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</si>
  <si>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</si>
  <si>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</si>
  <si>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</si>
  <si>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</si>
  <si>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</si>
  <si>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</si>
  <si>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</si>
  <si>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</si>
  <si>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</si>
  <si>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</si>
  <si>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</si>
  <si>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</si>
  <si>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</si>
  <si>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</si>
  <si>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</si>
  <si>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</si>
  <si>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</si>
  <si>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</si>
  <si>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</si>
  <si>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</si>
  <si>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</si>
  <si>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</si>
  <si>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</si>
  <si>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</si>
  <si>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</si>
  <si>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</si>
  <si>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</si>
  <si>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</si>
  <si>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</si>
  <si>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</si>
  <si>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</si>
  <si>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</si>
  <si>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</si>
  <si>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</si>
  <si>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</si>
  <si>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</si>
  <si>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</si>
  <si>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</si>
  <si>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</si>
  <si>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</si>
  <si>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</si>
  <si>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</si>
  <si>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</si>
  <si>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</si>
  <si>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</si>
  <si>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</si>
  <si>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</si>
  <si>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</si>
  <si>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</si>
  <si>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</si>
  <si>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</si>
  <si>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</si>
  <si>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</si>
  <si>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</si>
  <si>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</si>
  <si>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</si>
  <si>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</si>
  <si>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</si>
  <si>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</si>
  <si>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</si>
  <si>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</si>
  <si>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</si>
  <si>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</si>
  <si>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</si>
  <si>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</si>
  <si>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</si>
  <si>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</si>
  <si>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</si>
  <si>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</si>
  <si>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</si>
  <si>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</si>
  <si>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</si>
  <si>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</si>
  <si>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</si>
  <si>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</si>
  <si>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</si>
  <si>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</si>
  <si>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</si>
  <si>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</si>
  <si>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</si>
  <si>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</si>
  <si>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</si>
  <si>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</si>
  <si>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</si>
  <si>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</si>
  <si>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</si>
  <si>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</si>
  <si>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</si>
  <si>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</si>
  <si>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</si>
  <si>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</si>
  <si>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</si>
  <si>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</si>
  <si>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</si>
  <si>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</si>
  <si>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</si>
  <si>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</si>
  <si>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</si>
  <si>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</si>
  <si>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</si>
  <si>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</si>
  <si>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</si>
  <si>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</si>
  <si>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</si>
  <si>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</si>
  <si>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</si>
  <si>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</si>
  <si>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</si>
  <si>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</si>
  <si>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</si>
  <si>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</si>
  <si>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</si>
  <si>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</si>
  <si>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</si>
  <si>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</si>
  <si>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</si>
  <si>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</si>
  <si>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</si>
  <si>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</si>
  <si>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</si>
  <si>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</si>
  <si>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</si>
  <si>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</si>
  <si>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</si>
  <si>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</si>
  <si>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</si>
  <si>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</si>
  <si>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</si>
  <si>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</si>
  <si>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</si>
  <si>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</si>
  <si>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</si>
  <si>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</si>
  <si>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</si>
  <si>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</si>
  <si>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</si>
  <si>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</si>
  <si>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</si>
  <si>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</si>
  <si>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</si>
  <si>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</si>
  <si>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</si>
  <si>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</si>
  <si>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</si>
  <si>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</si>
  <si>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</si>
  <si>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</si>
  <si>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</si>
  <si>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</si>
  <si>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</si>
  <si>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</si>
  <si>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</si>
  <si>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</si>
  <si>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</si>
  <si>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</si>
  <si>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</si>
  <si>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</si>
  <si>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</si>
  <si>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</si>
  <si>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</si>
  <si>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</si>
  <si>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</si>
  <si>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</si>
  <si>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</si>
  <si>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</si>
  <si>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</si>
  <si>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</si>
  <si>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</si>
  <si>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</si>
  <si>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</si>
  <si>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</si>
  <si>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</si>
  <si>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</si>
  <si>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</si>
  <si>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</si>
  <si>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</si>
  <si>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</si>
  <si>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</si>
  <si>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</si>
  <si>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</si>
  <si>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</si>
  <si>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</si>
  <si>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</si>
  <si>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</si>
  <si>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</si>
  <si>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</si>
  <si>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</si>
  <si>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</si>
  <si>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</si>
  <si>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</si>
  <si>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</si>
  <si>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</si>
  <si>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</si>
  <si>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</si>
  <si>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</si>
  <si>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</si>
  <si>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</si>
  <si>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</si>
  <si>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</si>
  <si>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</si>
  <si>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</si>
  <si>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</si>
  <si>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</si>
  <si>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</si>
  <si>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</si>
  <si>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</si>
  <si>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</si>
  <si>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</si>
  <si>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</si>
  <si>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</si>
  <si>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</si>
  <si>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</si>
  <si>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</si>
  <si>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</si>
  <si>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</si>
  <si>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</si>
  <si>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</si>
  <si>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</si>
  <si>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</si>
  <si>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</si>
  <si>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</si>
  <si>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</si>
  <si>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</si>
  <si>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</si>
  <si>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</si>
  <si>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</si>
  <si>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</si>
  <si>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</si>
  <si>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</si>
  <si>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</si>
  <si>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</si>
  <si>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</si>
  <si>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</si>
  <si>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</si>
  <si>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</si>
  <si>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</si>
  <si>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</si>
  <si>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</si>
  <si>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</si>
  <si>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</si>
  <si>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</si>
  <si>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</si>
  <si>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</si>
  <si>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</si>
  <si>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</si>
  <si>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</si>
  <si>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</si>
  <si>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</si>
  <si>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</si>
  <si>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</si>
  <si>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</si>
  <si>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</si>
  <si>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</si>
  <si>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</si>
  <si>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</si>
  <si>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</si>
  <si>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</si>
  <si>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</si>
  <si>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</si>
  <si>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</si>
  <si>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</si>
  <si>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</si>
  <si>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</si>
  <si>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</si>
  <si>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</si>
  <si>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</si>
  <si>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</si>
  <si>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</si>
  <si>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</si>
  <si>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</si>
  <si>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</si>
  <si>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</si>
  <si>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</si>
  <si>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</si>
  <si>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</si>
  <si>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</si>
  <si>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</si>
  <si>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</si>
  <si>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</si>
  <si>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</si>
  <si>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</si>
  <si>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</si>
  <si>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</si>
  <si>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</si>
  <si>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</si>
  <si>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</si>
  <si>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</si>
  <si>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</si>
  <si>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</si>
  <si>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</si>
  <si>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</si>
  <si>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</si>
  <si>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</si>
  <si>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</si>
  <si>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</si>
  <si>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</si>
  <si>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</si>
  <si>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</si>
  <si>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</si>
  <si>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</si>
  <si>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</si>
  <si>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</si>
  <si>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</si>
  <si>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</si>
  <si>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</si>
  <si>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</si>
  <si>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</si>
  <si>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</si>
  <si>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</si>
  <si>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</si>
  <si>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</si>
  <si>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</si>
  <si>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</si>
  <si>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</si>
  <si>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</si>
  <si>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</si>
  <si>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</si>
  <si>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</si>
  <si>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</si>
  <si>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</si>
  <si>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</si>
  <si>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</si>
  <si>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</si>
  <si>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</si>
  <si>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</si>
  <si>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</si>
  <si>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</si>
  <si>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</si>
  <si>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</si>
  <si>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</si>
  <si>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</si>
  <si>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</si>
  <si>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</si>
  <si>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</si>
  <si>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</si>
  <si>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</si>
  <si>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</si>
  <si>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</si>
  <si>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</si>
  <si>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</si>
  <si>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</si>
  <si>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</si>
  <si>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</si>
  <si>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</si>
  <si>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</si>
  <si>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</si>
  <si>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</si>
  <si>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</si>
  <si>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</si>
  <si>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</si>
  <si>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</si>
  <si>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</si>
  <si>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</si>
  <si>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</si>
  <si>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</si>
  <si>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</si>
  <si>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</si>
  <si>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</si>
  <si>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</si>
  <si>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</si>
  <si>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</si>
  <si>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</si>
  <si>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</si>
  <si>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</si>
  <si>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</si>
  <si>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</si>
  <si>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</si>
  <si>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</si>
  <si>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</si>
  <si>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</si>
  <si>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</si>
  <si>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</si>
  <si>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</si>
  <si>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</si>
  <si>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</si>
  <si>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</si>
  <si>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</si>
  <si>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</si>
  <si>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</si>
  <si>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</si>
  <si>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</si>
  <si>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</si>
  <si>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</si>
  <si>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</si>
  <si>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</si>
  <si>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</si>
  <si>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</si>
  <si>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</si>
  <si>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</si>
  <si>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</si>
  <si>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</si>
  <si>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</si>
  <si>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</si>
  <si>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</si>
  <si>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</si>
  <si>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</si>
  <si>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</si>
  <si>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</si>
  <si>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</si>
  <si>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</si>
  <si>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</si>
  <si>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</si>
  <si>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</si>
  <si>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</si>
  <si>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</si>
  <si>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</si>
  <si>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</si>
  <si>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</si>
  <si>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</si>
  <si>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</si>
  <si>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</si>
  <si>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</si>
  <si>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</si>
  <si>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</si>
  <si>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</si>
  <si>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</si>
  <si>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</si>
  <si>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</si>
  <si>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</si>
  <si>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</si>
  <si>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</si>
  <si>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</si>
  <si>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</si>
  <si>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</si>
  <si>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</si>
  <si>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</si>
  <si>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</si>
  <si>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</si>
  <si>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</si>
  <si>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</si>
  <si>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</si>
  <si>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</si>
  <si>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</si>
  <si>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</si>
  <si>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</si>
  <si>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</si>
  <si>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</si>
  <si>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</si>
  <si>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</si>
  <si>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</si>
  <si>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</si>
  <si>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</si>
  <si>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</si>
  <si>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</si>
  <si>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</si>
  <si>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</si>
  <si>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</si>
  <si>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</si>
  <si>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</si>
  <si>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</si>
  <si>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</si>
  <si>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</si>
  <si>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</si>
  <si>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</si>
  <si>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</si>
  <si>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</si>
  <si>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</si>
  <si>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</si>
  <si>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</si>
  <si>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</si>
  <si>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</si>
  <si>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</si>
  <si>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</si>
  <si>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</si>
  <si>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</si>
  <si>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</si>
  <si>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</si>
  <si>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</si>
  <si>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</si>
  <si>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</si>
  <si>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</si>
  <si>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</si>
  <si>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</si>
  <si>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</si>
  <si>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</si>
  <si>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</si>
  <si>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</si>
  <si>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</si>
  <si>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</si>
  <si>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</si>
  <si>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</si>
  <si>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</si>
  <si>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</si>
  <si>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</si>
  <si>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</si>
  <si>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</si>
  <si>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</si>
  <si>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</si>
  <si>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</si>
  <si>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</si>
  <si>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</si>
  <si>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</si>
  <si>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</si>
  <si>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</si>
  <si>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</si>
  <si>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</si>
  <si>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</si>
  <si>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</si>
  <si>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</si>
  <si>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</si>
  <si>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</si>
  <si>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</si>
  <si>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</si>
  <si>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</si>
  <si>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</si>
  <si>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</si>
  <si>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</si>
  <si>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</si>
  <si>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</si>
  <si>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</si>
  <si>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</si>
  <si>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</si>
  <si>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</si>
  <si>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</si>
  <si>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</si>
  <si>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</si>
  <si>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</si>
  <si>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</si>
  <si>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</si>
  <si>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</si>
  <si>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</si>
  <si>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</si>
  <si>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</si>
  <si>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</si>
  <si>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</si>
  <si>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</si>
  <si>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</si>
  <si>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</si>
  <si>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</si>
  <si>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</si>
  <si>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</si>
  <si>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</si>
  <si>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</si>
  <si>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</si>
  <si>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</si>
  <si>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</si>
  <si>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</si>
  <si>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</si>
  <si>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</si>
  <si>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</si>
  <si>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</si>
  <si>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</si>
  <si>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</si>
  <si>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</si>
  <si>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</si>
  <si>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</si>
  <si>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</si>
  <si>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</si>
  <si>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</si>
  <si>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</si>
  <si>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</si>
  <si>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</si>
  <si>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</si>
  <si>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</si>
  <si>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</si>
  <si>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</si>
  <si>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</si>
  <si>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</si>
  <si>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</si>
  <si>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</si>
  <si>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</si>
  <si>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</si>
  <si>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</si>
  <si>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</si>
  <si>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</si>
  <si>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</si>
  <si>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</si>
  <si>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</si>
  <si>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</si>
  <si>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</si>
  <si>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</si>
  <si>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</si>
  <si>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</si>
  <si>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</si>
  <si>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</si>
  <si>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</si>
  <si>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</si>
  <si>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</si>
  <si>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</si>
  <si>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</si>
  <si>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</si>
  <si>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</si>
  <si>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</si>
  <si>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</si>
  <si>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</si>
  <si>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</si>
  <si>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</si>
  <si>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</si>
  <si>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</si>
  <si>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</si>
  <si>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</si>
  <si>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</si>
  <si>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</si>
  <si>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</si>
  <si>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</si>
  <si>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</si>
  <si>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</si>
  <si>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</si>
  <si>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</si>
  <si>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</si>
  <si>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</si>
  <si>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</si>
  <si>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</si>
  <si>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</si>
  <si>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</si>
  <si>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</si>
  <si>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</si>
  <si>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</si>
  <si>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</si>
  <si>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</si>
  <si>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</si>
  <si>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</si>
  <si>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</si>
  <si>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</si>
  <si>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</si>
  <si>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</si>
  <si>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</si>
  <si>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</si>
  <si>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</si>
  <si>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</si>
  <si>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</si>
  <si>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</si>
  <si>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</si>
  <si>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</si>
  <si>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</si>
  <si>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</si>
  <si>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</si>
  <si>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</si>
  <si>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</si>
  <si>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</si>
  <si>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</si>
  <si>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</si>
  <si>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</si>
  <si>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</si>
  <si>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</si>
  <si>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</si>
  <si>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</si>
  <si>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</si>
  <si>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</si>
  <si>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</si>
  <si>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</si>
  <si>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</si>
  <si>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</si>
  <si>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</si>
  <si>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</si>
  <si>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</si>
  <si>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</si>
  <si>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</si>
  <si>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</si>
  <si>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</si>
  <si>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</si>
  <si>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</si>
  <si>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</si>
  <si>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</si>
  <si>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</si>
  <si>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</si>
  <si>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</si>
  <si>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</si>
  <si>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</si>
  <si>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</si>
  <si>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</si>
  <si>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</si>
  <si>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</si>
  <si>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</si>
  <si>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</si>
  <si>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</si>
  <si>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</si>
  <si>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</si>
  <si>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</si>
  <si>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</si>
  <si>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</si>
  <si>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</si>
  <si>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</si>
  <si>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</si>
  <si>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</si>
  <si>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</si>
  <si>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</si>
  <si>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</si>
  <si>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</si>
  <si>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</si>
  <si>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</si>
  <si>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</si>
  <si>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</si>
  <si>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</si>
  <si>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</si>
  <si>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</si>
  <si>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</si>
  <si>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</si>
  <si>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</si>
  <si>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</si>
  <si>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</si>
  <si>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</si>
  <si>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</si>
  <si>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</si>
  <si>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</si>
  <si>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</si>
  <si>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</si>
  <si>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</si>
  <si>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</si>
  <si>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</si>
  <si>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</si>
  <si>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</si>
  <si>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</si>
  <si>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</si>
  <si>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</si>
  <si>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</si>
  <si>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</si>
  <si>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</si>
  <si>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</si>
  <si>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</si>
  <si>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</si>
  <si>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</si>
  <si>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</si>
  <si>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</si>
  <si>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</si>
  <si>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</si>
  <si>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</si>
  <si>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</si>
  <si>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</si>
  <si>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</si>
  <si>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</si>
  <si>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</si>
  <si>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</si>
  <si>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</si>
  <si>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</si>
  <si>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</si>
  <si>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</si>
  <si>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</si>
  <si>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</si>
  <si>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</si>
  <si>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</si>
  <si>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</si>
  <si>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</si>
  <si>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</si>
  <si>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</si>
  <si>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</si>
  <si>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</si>
  <si>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</si>
  <si>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</si>
  <si>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</si>
  <si>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</si>
  <si>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</si>
  <si>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</si>
  <si>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</si>
  <si>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</si>
  <si>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</si>
  <si>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</si>
  <si>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</si>
  <si>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</si>
  <si>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</si>
  <si>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</si>
  <si>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</si>
  <si>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</si>
  <si>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</si>
  <si>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</si>
  <si>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</si>
  <si>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</si>
  <si>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</si>
  <si>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</si>
  <si>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</si>
  <si>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</si>
  <si>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</si>
  <si>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</si>
  <si>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</si>
  <si>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</si>
  <si>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</si>
  <si>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</si>
  <si>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</si>
  <si>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</si>
  <si>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</si>
  <si>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</si>
  <si>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</si>
  <si>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</si>
  <si>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</si>
  <si>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</si>
  <si>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</si>
  <si>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</si>
  <si>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</si>
  <si>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</si>
  <si>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</si>
  <si>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</si>
  <si>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</si>
  <si>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</si>
  <si>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</si>
  <si>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</si>
  <si>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</si>
  <si>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</si>
  <si>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</si>
  <si>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</si>
  <si>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</si>
  <si>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</si>
  <si>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</si>
  <si>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</si>
  <si>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</si>
  <si>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</si>
  <si>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</si>
  <si>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</si>
  <si>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</si>
  <si>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</si>
  <si>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</si>
  <si>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</si>
  <si>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</si>
  <si>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</si>
  <si>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</si>
  <si>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</si>
  <si>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</si>
  <si>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</si>
  <si>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</si>
  <si>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</si>
  <si>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</si>
  <si>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</si>
  <si>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</si>
  <si>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</si>
  <si>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</si>
  <si>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</si>
  <si>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</si>
  <si>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</si>
  <si>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</si>
  <si>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</si>
  <si>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</si>
  <si>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</si>
  <si>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</si>
  <si>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</si>
  <si>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</si>
  <si>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</si>
  <si>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</si>
  <si>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</si>
  <si>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</si>
  <si>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</si>
  <si>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</si>
  <si>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</si>
  <si>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</si>
  <si>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</si>
  <si>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</si>
  <si>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</si>
  <si>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</si>
  <si>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</si>
  <si>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</si>
  <si>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</si>
  <si>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</si>
  <si>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</si>
  <si>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</si>
  <si>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</si>
  <si>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</si>
  <si>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</si>
  <si>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</si>
  <si>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</si>
  <si>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</si>
  <si>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</si>
  <si>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</si>
  <si>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</si>
  <si>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</si>
  <si>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</si>
  <si>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</si>
  <si>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</si>
  <si>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</si>
  <si>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</si>
  <si>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</si>
  <si>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</si>
  <si>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</si>
  <si>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</si>
  <si>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</si>
  <si>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</si>
  <si>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</si>
  <si>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</si>
  <si>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</si>
  <si>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</si>
  <si>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</si>
  <si>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</si>
  <si>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</si>
  <si>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</si>
  <si>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</si>
  <si>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</si>
  <si>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</si>
  <si>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</si>
  <si>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</si>
  <si>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</si>
  <si>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</si>
  <si>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</si>
  <si>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</si>
  <si>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</si>
  <si>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</si>
  <si>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</si>
  <si>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</si>
  <si>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</si>
  <si>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</si>
  <si>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</si>
  <si>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</si>
  <si>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</si>
  <si>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</si>
  <si>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</si>
  <si>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</si>
  <si>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</si>
  <si>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</si>
  <si>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</si>
  <si>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</si>
  <si>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</si>
  <si>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</si>
  <si>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</si>
  <si>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</si>
  <si>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</si>
  <si>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</si>
  <si>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</si>
  <si>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</si>
  <si>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</si>
  <si>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</si>
  <si>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</si>
  <si>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</si>
  <si>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</si>
  <si>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</si>
  <si>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</si>
  <si>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</si>
  <si>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</si>
  <si>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</si>
  <si>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</si>
  <si>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</si>
  <si>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</si>
  <si>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</si>
  <si>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</si>
  <si>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</si>
  <si>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</si>
  <si>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</si>
  <si>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</si>
  <si>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</si>
  <si>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</si>
  <si>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</si>
  <si>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</si>
  <si>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</si>
  <si>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</si>
  <si>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</si>
  <si>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</si>
  <si>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</si>
  <si>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</si>
  <si>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</si>
  <si>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</si>
  <si>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</si>
  <si>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</si>
  <si>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</si>
  <si>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</si>
  <si>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</si>
  <si>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</si>
  <si>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</si>
  <si>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</si>
  <si>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</si>
  <si>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</si>
  <si>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</si>
  <si>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</si>
  <si>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</si>
  <si>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</si>
  <si>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</si>
  <si>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</si>
  <si>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</si>
  <si>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</si>
  <si>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</si>
  <si>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</si>
  <si>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</si>
  <si>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</si>
  <si>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</si>
  <si>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</si>
  <si>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</si>
  <si>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</si>
  <si>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</si>
  <si>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</si>
  <si>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</si>
  <si>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</si>
  <si>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</si>
  <si>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</si>
  <si>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</si>
  <si>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</si>
  <si>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</si>
  <si>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</si>
  <si>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</si>
  <si>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</si>
  <si>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</si>
  <si>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</si>
  <si>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</si>
  <si>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</si>
  <si>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</si>
  <si>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</si>
  <si>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</si>
  <si>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</si>
  <si>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</si>
  <si>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</si>
  <si>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</si>
  <si>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</si>
  <si>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</si>
  <si>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</si>
  <si>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</si>
  <si>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</si>
  <si>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</si>
  <si>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</si>
  <si>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</si>
  <si>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</si>
  <si>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</si>
  <si>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</si>
  <si>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</si>
  <si>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</si>
  <si>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</si>
  <si>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</si>
  <si>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</si>
  <si>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</si>
  <si>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</si>
  <si>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</si>
  <si>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</si>
  <si>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</si>
  <si>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</si>
  <si>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</si>
  <si>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</si>
  <si>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</si>
  <si>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</si>
  <si>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</si>
  <si>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</si>
  <si>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</si>
  <si>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</si>
  <si>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</si>
  <si>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</si>
  <si>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</si>
  <si>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</si>
  <si>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</si>
  <si>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</si>
  <si>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</si>
  <si>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</si>
  <si>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</si>
  <si>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</si>
  <si>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</si>
  <si>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</si>
  <si>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</si>
  <si>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</si>
  <si>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</si>
  <si>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</si>
  <si>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</si>
  <si>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</si>
  <si>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</si>
  <si>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</si>
  <si>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</si>
  <si>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</si>
  <si>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</si>
  <si>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</si>
  <si>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</si>
  <si>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</si>
  <si>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</si>
  <si>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</si>
  <si>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</si>
  <si>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</si>
  <si>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</si>
  <si>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</si>
  <si>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</si>
  <si>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</si>
  <si>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</si>
  <si>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</si>
  <si>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</si>
  <si>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</si>
  <si>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</si>
  <si>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</si>
  <si>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</si>
  <si>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</si>
  <si>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</si>
  <si>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</si>
  <si>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</si>
  <si>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</si>
  <si>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</si>
  <si>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</si>
  <si>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</si>
  <si>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</si>
  <si>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</si>
  <si>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</si>
  <si>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</si>
  <si>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</si>
  <si>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</si>
  <si>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</si>
  <si>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</si>
  <si>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</si>
  <si>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</si>
  <si>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</si>
  <si>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</si>
  <si>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</si>
  <si>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</si>
  <si>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</si>
  <si>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</si>
  <si>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</si>
  <si>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</si>
  <si>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</si>
  <si>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</si>
  <si>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</si>
  <si>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</si>
  <si>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</si>
  <si>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</si>
  <si>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</si>
  <si>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</si>
  <si>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</si>
  <si>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</si>
  <si>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</si>
  <si>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</si>
  <si>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</si>
  <si>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</si>
  <si>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</si>
  <si>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</si>
  <si>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</si>
  <si>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</si>
  <si>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</si>
  <si>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</si>
  <si>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</si>
  <si>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</si>
  <si>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</si>
  <si>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</si>
  <si>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</si>
  <si>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</si>
  <si>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</si>
  <si>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</si>
  <si>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</si>
  <si>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</si>
  <si>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</si>
  <si>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</si>
  <si>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</si>
  <si>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</si>
  <si>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</si>
  <si>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</si>
  <si>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</si>
  <si>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</si>
  <si>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</si>
  <si>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</si>
  <si>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</si>
  <si>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</si>
  <si>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</si>
  <si>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</si>
  <si>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</si>
  <si>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</si>
  <si>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</si>
  <si>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</si>
  <si>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</si>
  <si>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</si>
  <si>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</si>
  <si>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</si>
  <si>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</si>
  <si>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</si>
  <si>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</si>
  <si>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</si>
  <si>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</si>
  <si>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</si>
  <si>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</si>
  <si>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</si>
  <si>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</si>
  <si>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</si>
  <si>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</si>
  <si>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</si>
  <si>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</si>
  <si>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</si>
  <si>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</si>
  <si>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</si>
  <si>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</si>
  <si>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</si>
  <si>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</si>
  <si>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</si>
  <si>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</si>
  <si>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</si>
  <si>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</si>
  <si>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</si>
  <si>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</si>
  <si>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</si>
  <si>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</si>
  <si>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</si>
  <si>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</si>
  <si>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</si>
  <si>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</si>
  <si>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</si>
  <si>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</si>
  <si>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</si>
  <si>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</si>
  <si>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</si>
  <si>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</si>
  <si>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</si>
  <si>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</si>
  <si>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</si>
  <si>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</si>
  <si>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</si>
  <si>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</si>
  <si>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</si>
  <si>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</si>
  <si>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</si>
  <si>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</si>
  <si>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</si>
  <si>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</si>
  <si>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</si>
  <si>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</si>
  <si>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</si>
  <si>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</si>
  <si>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陈颖</t>
  </si>
  <si>
    <t>叶凌</t>
  </si>
  <si>
    <t>核定资产</t>
  </si>
  <si>
    <t>房地产市场价值</t>
  </si>
  <si>
    <t>北京市</t>
  </si>
  <si>
    <t>企业</t>
  </si>
  <si>
    <r>
      <rPr>
        <sz val="12"/>
        <color theme="9" tint="-0.249977111117893"/>
        <rFont val="宋体"/>
        <family val="3"/>
        <charset val="134"/>
      </rPr>
      <t>石景山区西黄新村北里甲</t>
    </r>
    <r>
      <rPr>
        <sz val="12"/>
        <color theme="9" tint="-0.249977111117893"/>
        <rFont val="Arial"/>
        <family val="2"/>
      </rPr>
      <t>11</t>
    </r>
    <r>
      <rPr>
        <sz val="12"/>
        <color theme="9" tint="-0.249977111117893"/>
        <rFont val="宋体"/>
        <family val="3"/>
        <charset val="134"/>
      </rPr>
      <t>号楼</t>
    </r>
    <phoneticPr fontId="6" type="noConversion"/>
  </si>
  <si>
    <t>出让</t>
  </si>
  <si>
    <r>
      <rPr>
        <sz val="10"/>
        <color indexed="8"/>
        <rFont val="宋体"/>
        <family val="3"/>
        <charset val="134"/>
      </rPr>
      <t>京石国用（</t>
    </r>
    <r>
      <rPr>
        <sz val="10"/>
        <color indexed="8"/>
        <rFont val="Arial"/>
        <family val="2"/>
      </rPr>
      <t>2008</t>
    </r>
    <r>
      <rPr>
        <sz val="10"/>
        <color indexed="8"/>
        <rFont val="宋体"/>
        <family val="3"/>
        <charset val="134"/>
      </rPr>
      <t>出）第</t>
    </r>
    <r>
      <rPr>
        <sz val="10"/>
        <color indexed="8"/>
        <rFont val="Arial"/>
        <family val="2"/>
      </rPr>
      <t>0063</t>
    </r>
    <r>
      <rPr>
        <sz val="10"/>
        <color indexed="8"/>
        <rFont val="宋体"/>
        <family val="3"/>
        <charset val="134"/>
      </rPr>
      <t>号</t>
    </r>
    <phoneticPr fontId="3" type="noConversion"/>
  </si>
  <si>
    <t>是</t>
  </si>
  <si>
    <r>
      <rPr>
        <sz val="10"/>
        <color indexed="8"/>
        <rFont val="宋体"/>
        <family val="3"/>
        <charset val="134"/>
      </rPr>
      <t>京房权证石其字第</t>
    </r>
    <r>
      <rPr>
        <sz val="10"/>
        <color indexed="8"/>
        <rFont val="Arial"/>
        <family val="2"/>
      </rPr>
      <t>503</t>
    </r>
    <r>
      <rPr>
        <sz val="10"/>
        <color indexed="8"/>
        <rFont val="宋体"/>
        <family val="3"/>
        <charset val="134"/>
      </rPr>
      <t>号</t>
    </r>
    <phoneticPr fontId="3" type="noConversion"/>
  </si>
  <si>
    <t>地上</t>
  </si>
  <si>
    <t>地下</t>
  </si>
  <si>
    <t>成新度</t>
  </si>
  <si>
    <t>现房</t>
  </si>
  <si>
    <t>不临58条商业街</t>
  </si>
  <si>
    <t>按公示增长率计算</t>
  </si>
  <si>
    <t>七通一平</t>
  </si>
  <si>
    <t>楼层修正</t>
  </si>
  <si>
    <t>批发零售用地</t>
  </si>
  <si>
    <t>一致</t>
  </si>
  <si>
    <t>未包含在土地购买价格中</t>
  </si>
  <si>
    <t>已包含在土地取得成本中</t>
  </si>
  <si>
    <t>一般</t>
  </si>
  <si>
    <t>较差</t>
  </si>
  <si>
    <t>较好</t>
  </si>
  <si>
    <t>差</t>
  </si>
  <si>
    <t>押二</t>
  </si>
  <si>
    <t>收益法 (元)</t>
  </si>
  <si>
    <t>收益法 (元)</t>
    <phoneticPr fontId="16" type="noConversion"/>
  </si>
  <si>
    <t>收益法 (地下)</t>
  </si>
  <si>
    <t>收益法 (地下)</t>
    <phoneticPr fontId="16" type="noConversion"/>
  </si>
  <si>
    <t>按租金收入计税</t>
  </si>
  <si>
    <t>成本法 (元)</t>
  </si>
  <si>
    <t>钢混</t>
  </si>
  <si>
    <t>非生产用房</t>
  </si>
  <si>
    <t>一层</t>
    <phoneticPr fontId="25" type="noConversion"/>
  </si>
  <si>
    <t>二层</t>
    <phoneticPr fontId="25" type="noConversion"/>
  </si>
  <si>
    <t>三层</t>
    <phoneticPr fontId="25" type="noConversion"/>
  </si>
  <si>
    <t>楼层</t>
    <phoneticPr fontId="3" type="noConversion"/>
  </si>
  <si>
    <t>楼层</t>
    <phoneticPr fontId="143" type="noConversion"/>
  </si>
  <si>
    <t>面积</t>
    <phoneticPr fontId="143" type="noConversion"/>
  </si>
  <si>
    <t>单价</t>
    <phoneticPr fontId="143" type="noConversion"/>
  </si>
  <si>
    <t>总价</t>
    <phoneticPr fontId="143" type="noConversion"/>
  </si>
  <si>
    <t>地下</t>
    <phoneticPr fontId="143" type="noConversion"/>
  </si>
  <si>
    <t>合计</t>
    <phoneticPr fontId="143" type="noConversion"/>
  </si>
  <si>
    <t>规划建筑面积</t>
  </si>
  <si>
    <t>时间</t>
    <phoneticPr fontId="143" type="noConversion"/>
  </si>
  <si>
    <t>天数</t>
    <phoneticPr fontId="143" type="noConversion"/>
  </si>
  <si>
    <t>前3年</t>
    <phoneticPr fontId="143" type="noConversion"/>
  </si>
  <si>
    <t>2019-2020</t>
    <phoneticPr fontId="143" type="noConversion"/>
  </si>
  <si>
    <t>整栋</t>
  </si>
  <si>
    <t>整栋</t>
    <phoneticPr fontId="7" type="noConversion"/>
  </si>
  <si>
    <t>16.7-17.7</t>
    <phoneticPr fontId="143" type="noConversion"/>
  </si>
  <si>
    <t>17.7-18.7</t>
    <phoneticPr fontId="143" type="noConversion"/>
  </si>
  <si>
    <t>18.7-19.7</t>
    <phoneticPr fontId="143" type="noConversion"/>
  </si>
  <si>
    <t>19.7-20.7</t>
    <phoneticPr fontId="143" type="noConversion"/>
  </si>
  <si>
    <t>2018/10/25-2019/7/26</t>
    <phoneticPr fontId="143" type="noConversion"/>
  </si>
  <si>
    <t>需扣减承租人权益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</si>
</sst>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41" fillId="0" borderId="109" xfId="0" applyNumberFormat="1" applyFont="1" applyFill="1" applyBorder="1" applyAlignment="1" applyProtection="1">
      <alignment horizontal="center" vertical="center" wrapText="1"/>
      <protection locked="0"/>
    </xf>
    <xf numFmtId="0" fontId="99" fillId="0" borderId="1" xfId="10" applyFont="1" applyBorder="1" applyAlignment="1">
      <alignment horizontal="left" vertical="center"/>
    </xf>
    <xf numFmtId="0" fontId="99" fillId="0" borderId="0" xfId="10">
      <alignment vertical="center"/>
    </xf>
    <xf numFmtId="0" fontId="99" fillId="0" borderId="1" xfId="10" applyBorder="1" applyAlignment="1">
      <alignment horizontal="left" vertical="center"/>
    </xf>
    <xf numFmtId="0" fontId="99" fillId="6" borderId="1" xfId="10" applyFont="1" applyFill="1" applyBorder="1" applyAlignment="1">
      <alignment horizontal="left" vertical="center"/>
    </xf>
    <xf numFmtId="0" fontId="99" fillId="6" borderId="1" xfId="10" applyFill="1" applyBorder="1" applyAlignment="1">
      <alignment horizontal="left" vertical="center"/>
    </xf>
    <xf numFmtId="0" fontId="99" fillId="6" borderId="1" xfId="10" applyFill="1" applyBorder="1" applyAlignment="1">
      <alignment horizontal="center" vertical="center"/>
    </xf>
    <xf numFmtId="0" fontId="99" fillId="6" borderId="1" xfId="10" applyFont="1" applyFill="1" applyBorder="1" applyAlignment="1">
      <alignment horizontal="center" vertical="center"/>
    </xf>
    <xf numFmtId="0" fontId="99" fillId="6" borderId="0" xfId="10" applyFont="1" applyFill="1" applyBorder="1" applyAlignment="1">
      <alignment horizontal="center" vertical="center"/>
    </xf>
    <xf numFmtId="0" fontId="99" fillId="6" borderId="0" xfId="10" applyFill="1" applyBorder="1" applyAlignment="1">
      <alignment horizontal="center" vertical="center"/>
    </xf>
    <xf numFmtId="0" fontId="99" fillId="0" borderId="0" xfId="10" applyFont="1">
      <alignment vertical="center"/>
    </xf>
    <xf numFmtId="0" fontId="99" fillId="0" borderId="0" xfId="10" applyFont="1" applyFill="1" applyBorder="1">
      <alignment vertical="center"/>
    </xf>
    <xf numFmtId="0" fontId="99" fillId="0" borderId="1" xfId="10" applyBorder="1" applyAlignment="1">
      <alignment horizontal="center" vertical="center"/>
    </xf>
    <xf numFmtId="14" fontId="99" fillId="0" borderId="1" xfId="10" applyNumberFormat="1" applyFont="1" applyBorder="1" applyAlignment="1">
      <alignment horizontal="center" vertical="center"/>
    </xf>
    <xf numFmtId="0" fontId="99" fillId="0" borderId="0" xfId="10" applyBorder="1" applyAlignment="1">
      <alignment horizontal="center" vertical="center"/>
    </xf>
    <xf numFmtId="0" fontId="99" fillId="0" borderId="1" xfId="10" applyFont="1" applyBorder="1" applyAlignment="1">
      <alignment horizontal="center" vertical="center"/>
    </xf>
    <xf numFmtId="9" fontId="99" fillId="0" borderId="0" xfId="10" applyNumberFormat="1" applyBorder="1" applyAlignment="1">
      <alignment horizontal="center" vertical="center"/>
    </xf>
    <xf numFmtId="0" fontId="99" fillId="5" borderId="0" xfId="10" applyFill="1" applyAlignment="1">
      <alignment horizontal="center" vertical="center"/>
    </xf>
    <xf numFmtId="0" fontId="99" fillId="0" borderId="0" xfId="10" applyAlignment="1">
      <alignment horizontal="center" vertical="center"/>
    </xf>
    <xf numFmtId="9" fontId="99" fillId="9" borderId="0" xfId="10" applyNumberForma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436639</xdr:colOff>
      <xdr:row>30</xdr:row>
      <xdr:rowOff>151738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2095239" cy="5295238"/>
        </a:xfrm>
        <a:prstGeom prst="rect">
          <a:avLst/>
        </a:prstGeom>
      </xdr:spPr>
    </xdr:pic>
    <xdr:clientData/>
  </xdr:twoCellAnchor>
  <xdr:twoCellAnchor editAs="oneCell">
    <xdr:from>
      <xdr:col>0</xdr:col>
      <xdr:colOff>0</xdr:colOff>
      <xdr:row>30</xdr:row>
      <xdr:rowOff>133350</xdr:rowOff>
    </xdr:from>
    <xdr:to>
      <xdr:col>18</xdr:col>
      <xdr:colOff>7982</xdr:colOff>
      <xdr:row>65</xdr:row>
      <xdr:rowOff>56410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76850"/>
          <a:ext cx="12352382" cy="5923810"/>
        </a:xfrm>
        <a:prstGeom prst="rect">
          <a:avLst/>
        </a:prstGeom>
      </xdr:spPr>
    </xdr:pic>
    <xdr:clientData/>
  </xdr:twoCellAnchor>
  <xdr:twoCellAnchor editAs="oneCell">
    <xdr:from>
      <xdr:col>0</xdr:col>
      <xdr:colOff>0</xdr:colOff>
      <xdr:row>65</xdr:row>
      <xdr:rowOff>9525</xdr:rowOff>
    </xdr:from>
    <xdr:to>
      <xdr:col>16</xdr:col>
      <xdr:colOff>636725</xdr:colOff>
      <xdr:row>97</xdr:row>
      <xdr:rowOff>18363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153775"/>
          <a:ext cx="11609525" cy="5495238"/>
        </a:xfrm>
        <a:prstGeom prst="rect">
          <a:avLst/>
        </a:prstGeom>
      </xdr:spPr>
    </xdr:pic>
    <xdr:clientData/>
  </xdr:twoCellAnchor>
  <xdr:twoCellAnchor editAs="oneCell">
    <xdr:from>
      <xdr:col>0</xdr:col>
      <xdr:colOff>0</xdr:colOff>
      <xdr:row>98</xdr:row>
      <xdr:rowOff>0</xdr:rowOff>
    </xdr:from>
    <xdr:to>
      <xdr:col>9</xdr:col>
      <xdr:colOff>684943</xdr:colOff>
      <xdr:row>133</xdr:row>
      <xdr:rowOff>151631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6857143" cy="6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7861;&#38498;/2018-1-0697&#21271;&#20140;&#24066;&#22823;&#20852;&#21306;&#40644;&#26449;&#38215;&#20852;&#21326;&#22253;8&#21495;&#27004;-1&#33267;7&#23618;8-1/&#27979;&#31639;-&#22823;&#20852;-&#24120;&#30021;20181129-164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假设开发法"/>
      <sheetName val="收益法"/>
      <sheetName val="结果汇总"/>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收益法 (地下)"/>
      <sheetName val="成本法 (元)"/>
      <sheetName val="成本法 (地下)"/>
      <sheetName val="基准地价修正"/>
      <sheetName val="修正"/>
      <sheetName val="容积率修正"/>
      <sheetName val="基准地价（汇总）"/>
      <sheetName val="基准地价修正 (地下)"/>
      <sheetName val="租约整理"/>
      <sheetName val="地价"/>
      <sheetName val="典型户型修正"/>
      <sheetName val="成本法（废）"/>
      <sheetName val="区片价"/>
      <sheetName val="因素修正幅度"/>
      <sheetName val="存贷款利率"/>
      <sheetName val="区片价（范围）"/>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 (地下)</v>
          </cell>
        </row>
        <row r="18">
          <cell r="A18" t="str">
            <v>办公楼</v>
          </cell>
          <cell r="B18" t="str">
            <v>基准地价修正 (地下)</v>
          </cell>
        </row>
        <row r="19">
          <cell r="A19" t="str">
            <v>宿舍</v>
          </cell>
          <cell r="B19" t="str">
            <v>成本法 (地下)</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一层</v>
          </cell>
          <cell r="F19">
            <v>709.04</v>
          </cell>
        </row>
        <row r="20">
          <cell r="C20" t="str">
            <v>二层</v>
          </cell>
        </row>
        <row r="21">
          <cell r="C21" t="str">
            <v>三层</v>
          </cell>
        </row>
        <row r="22">
          <cell r="C22" t="str">
            <v>地下</v>
          </cell>
        </row>
        <row r="23">
          <cell r="C23" t="str">
            <v>四层</v>
          </cell>
        </row>
        <row r="24">
          <cell r="C24" t="str">
            <v>五层</v>
          </cell>
        </row>
        <row r="25">
          <cell r="C25" t="str">
            <v>六层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efreshError="1"/>
      <sheetData sheetId="35" refreshError="1"/>
      <sheetData sheetId="36" refreshError="1"/>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refreshError="1"/>
      <sheetData sheetId="39" refreshError="1"/>
      <sheetData sheetId="40" refreshError="1"/>
      <sheetData sheetId="41" refreshError="1"/>
      <sheetData sheetId="42" refreshError="1"/>
      <sheetData sheetId="43">
        <row r="5">
          <cell r="C5">
            <v>6</v>
          </cell>
          <cell r="D5">
            <v>5</v>
          </cell>
          <cell r="E5">
            <v>4</v>
          </cell>
          <cell r="F5">
            <v>3</v>
          </cell>
          <cell r="G5">
            <v>2</v>
          </cell>
          <cell r="H5">
            <v>1</v>
          </cell>
          <cell r="T5">
            <v>0.5</v>
          </cell>
        </row>
        <row r="7">
          <cell r="B7" t="str">
            <v>是否可做商业</v>
          </cell>
          <cell r="C7" t="str">
            <v>是</v>
          </cell>
          <cell r="D7" t="str">
            <v>否</v>
          </cell>
          <cell r="T7">
            <v>5</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cell r="H17">
            <v>6</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1218</v>
      </c>
      <c r="B1" s="1588" t="s">
        <v>1297</v>
      </c>
    </row>
    <row r="2" spans="1:2" s="1593" customFormat="1" ht="15" thickTop="1">
      <c r="A2" s="1591" t="s">
        <v>1219</v>
      </c>
      <c r="B2" s="1592" t="str">
        <f>'预评函-封皮'!B37:I37</f>
        <v>北京市石景山区西黄新村北里甲11号楼房地产市场价值预评估</v>
      </c>
    </row>
    <row r="3" spans="1:2" s="1596" customFormat="1">
      <c r="A3" s="1594" t="s">
        <v>1220</v>
      </c>
      <c r="B3" s="1595">
        <f>'预评函-封皮'!B40</f>
        <v>0</v>
      </c>
    </row>
    <row r="4" spans="1:2" s="1596" customFormat="1">
      <c r="A4" s="1594" t="s">
        <v>1221</v>
      </c>
      <c r="B4" s="1595" t="str">
        <f ca="1">'预评函-封皮'!B46</f>
        <v>陈颖（注册号：1120060040)、叶凌（注册号：1119970111)</v>
      </c>
    </row>
    <row r="5" spans="1:2" s="1590" customFormat="1" ht="15" thickBot="1">
      <c r="A5" s="1597" t="s">
        <v>1222</v>
      </c>
      <c r="B5" s="1598" t="str">
        <f>'预评函-封皮'!B49</f>
        <v>康正预评字号</v>
      </c>
    </row>
    <row r="6" spans="1:2" s="1593" customFormat="1" ht="15" thickTop="1">
      <c r="A6" s="1591" t="s">
        <v>1223</v>
      </c>
      <c r="B6" s="1592" t="str">
        <f>'预评函-1'!A4</f>
        <v>受贵公司委托，我公司对北京市石景山区西黄新村北里甲11号楼房地产市场价值进行了预评估。</v>
      </c>
    </row>
    <row r="7" spans="1:2" s="1596" customFormat="1">
      <c r="A7" s="1594" t="s">
        <v>1263</v>
      </c>
      <c r="B7" s="1595" t="str">
        <f>'预评函-1'!A7</f>
        <v>估价对象为北京市石景山区西黄新村北里甲11号楼房地产，为所有。根据《国有土地使用证》[]，估价对象（分摊）出让国有建设用地使用权面积为478.53平方米，建筑面积为3096.45平方米。</v>
      </c>
    </row>
    <row r="8" spans="1:2" s="1596" customFormat="1">
      <c r="A8" s="1594" t="s">
        <v>1264</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1265</v>
      </c>
      <c r="B9" s="1595" t="str">
        <f>'预评函-1'!A10</f>
        <v>估价对象为北京市石景山区西黄新村北里甲11号楼房地产,属开发建设的，该项目尚在开发建设中。根据《国有土地使用证》[]，估价对象（分摊）出让国有建设用地使用权面积为478.53平方米，规划建筑面积为3096.45平方米。</v>
      </c>
    </row>
    <row r="10" spans="1:2" s="1596" customFormat="1">
      <c r="A10" s="1594" t="s">
        <v>1266</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1224</v>
      </c>
      <c r="B11" s="1595" t="str">
        <f>'预评函-1'!A13</f>
        <v>为估价委托人了解估价对象房地产市场价值提供参考依据。</v>
      </c>
    </row>
    <row r="12" spans="1:2" s="1596" customFormat="1">
      <c r="A12" s="1594" t="s">
        <v>1225</v>
      </c>
      <c r="B12" s="1595" t="str">
        <f>'预评函-1'!A15</f>
        <v>2018年9月16日</v>
      </c>
    </row>
    <row r="13" spans="1:2" s="1596" customFormat="1">
      <c r="A13" s="1594" t="s">
        <v>1226</v>
      </c>
      <c r="B13" s="1595" t="str">
        <f>'预评函-1'!A18</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4" spans="1:2" s="1596" customFormat="1">
      <c r="A14" s="1594" t="s">
        <v>1227</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1228</v>
      </c>
      <c r="B15" s="1595" t="str">
        <f>'预评函-1'!A20</f>
        <v>——</v>
      </c>
    </row>
    <row r="16" spans="1:2" s="1596" customFormat="1">
      <c r="A16" s="1594" t="s">
        <v>1229</v>
      </c>
      <c r="B16" s="1595" t="str">
        <f>'预评函-1'!A21</f>
        <v>——</v>
      </c>
    </row>
    <row r="17" spans="1:2" s="1596" customFormat="1">
      <c r="A17" s="1594" t="s">
        <v>1230</v>
      </c>
      <c r="B17" s="1595" t="str">
        <f>'预评函-1'!A22</f>
        <v>——</v>
      </c>
    </row>
    <row r="18" spans="1:2" s="1590" customFormat="1" ht="15" thickBot="1">
      <c r="A18" s="1597" t="s">
        <v>1231</v>
      </c>
      <c r="B18" s="1598" t="str">
        <f>'预评函-1'!A24</f>
        <v>本次评估采用的主估价方法为收益法和成本法。</v>
      </c>
    </row>
    <row r="19" spans="1:2" s="1593" customFormat="1" ht="15" thickTop="1">
      <c r="A19" s="1591" t="s">
        <v>1232</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1233</v>
      </c>
      <c r="B20" s="1595">
        <f ca="1">'预评函-2'!D5</f>
        <v>7294</v>
      </c>
    </row>
    <row r="21" spans="1:2" s="1596" customFormat="1">
      <c r="A21" s="1594" t="s">
        <v>1234</v>
      </c>
      <c r="B21" s="1595">
        <f ca="1">'预评函-2'!D7</f>
        <v>23556</v>
      </c>
    </row>
    <row r="22" spans="1:2" s="1596" customFormat="1">
      <c r="A22" s="1594" t="s">
        <v>1235</v>
      </c>
      <c r="B22" s="1595" t="str">
        <f ca="1">'预评函-2'!D6</f>
        <v>柒仟贰佰玖拾肆万元整</v>
      </c>
    </row>
    <row r="23" spans="1:2" s="1596" customFormat="1">
      <c r="A23" s="1594" t="s">
        <v>1286</v>
      </c>
      <c r="B23" s="1595" t="str">
        <f>'预评函-2'!B8</f>
        <v>2.估价师知悉的法定优先受偿款</v>
      </c>
    </row>
    <row r="24" spans="1:2" s="1596" customFormat="1">
      <c r="A24" s="1594" t="s">
        <v>1292</v>
      </c>
      <c r="B24" s="1595">
        <f>'预评函-2'!D8</f>
        <v>0</v>
      </c>
    </row>
    <row r="25" spans="1:2" s="1596" customFormat="1">
      <c r="A25" s="1594" t="s">
        <v>1236</v>
      </c>
      <c r="B25" s="1595" t="str">
        <f>'预评函-2'!D9</f>
        <v>零元整</v>
      </c>
    </row>
    <row r="26" spans="1:2" s="1596" customFormat="1">
      <c r="A26" s="1594" t="s">
        <v>1237</v>
      </c>
      <c r="B26" s="1595">
        <f>'预评函-2'!D10</f>
        <v>0</v>
      </c>
    </row>
    <row r="27" spans="1:2" s="1596" customFormat="1">
      <c r="A27" s="1594" t="s">
        <v>1238</v>
      </c>
      <c r="B27" s="1595">
        <f>'预评函-2'!D11</f>
        <v>0</v>
      </c>
    </row>
    <row r="28" spans="1:2" s="1596" customFormat="1">
      <c r="A28" s="1594" t="s">
        <v>1239</v>
      </c>
      <c r="B28" s="1595">
        <f>'预评函-2'!D12</f>
        <v>0</v>
      </c>
    </row>
    <row r="29" spans="1:2" s="1596" customFormat="1">
      <c r="A29" s="1594" t="s">
        <v>1290</v>
      </c>
      <c r="B29" s="1595" t="str">
        <f>'预评函-2'!B13</f>
        <v>3.房地产抵押价值</v>
      </c>
    </row>
    <row r="30" spans="1:2" s="1596" customFormat="1">
      <c r="A30" s="1594" t="s">
        <v>1291</v>
      </c>
      <c r="B30" s="1595">
        <f ca="1">'预评函-2'!D13</f>
        <v>7294</v>
      </c>
    </row>
    <row r="31" spans="1:2" s="1596" customFormat="1">
      <c r="A31" s="1594" t="s">
        <v>1273</v>
      </c>
      <c r="B31" s="1595">
        <f ca="1">'预评函-2'!D15</f>
        <v>23556</v>
      </c>
    </row>
    <row r="32" spans="1:2" s="1596" customFormat="1">
      <c r="A32" s="1594" t="s">
        <v>1240</v>
      </c>
      <c r="B32" s="1595" t="str">
        <f ca="1">'预评函-2'!D14</f>
        <v>柒仟贰佰玖拾肆万元整</v>
      </c>
    </row>
    <row r="33" spans="1:2" s="1596" customFormat="1">
      <c r="A33" s="1594" t="s">
        <v>1275</v>
      </c>
      <c r="B33" s="1595" t="str">
        <f>'预评函-2'!B16</f>
        <v>——</v>
      </c>
    </row>
    <row r="34" spans="1:2" s="1596" customFormat="1">
      <c r="A34" s="1594" t="s">
        <v>1293</v>
      </c>
      <c r="B34" s="1595" t="str">
        <f>'预评函-2'!D16</f>
        <v>——</v>
      </c>
    </row>
    <row r="35" spans="1:2" s="1596" customFormat="1">
      <c r="A35" s="1594" t="s">
        <v>1274</v>
      </c>
      <c r="B35" s="1595" t="str">
        <f>'预评函-2'!D18</f>
        <v>——</v>
      </c>
    </row>
    <row r="36" spans="1:2" s="1596" customFormat="1">
      <c r="A36" s="1594" t="s">
        <v>1241</v>
      </c>
      <c r="B36" s="1595" t="e">
        <f>'预评函-2'!D17</f>
        <v>#VALUE!</v>
      </c>
    </row>
    <row r="37" spans="1:2" s="1596" customFormat="1">
      <c r="A37" s="1594" t="s">
        <v>1276</v>
      </c>
      <c r="B37" s="1595" t="str">
        <f>'预评函-2'!B19</f>
        <v>——</v>
      </c>
    </row>
    <row r="38" spans="1:2" s="1596" customFormat="1">
      <c r="A38" s="1594" t="s">
        <v>1294</v>
      </c>
      <c r="B38" s="1595" t="str">
        <f>'预评函-2'!D19</f>
        <v>——</v>
      </c>
    </row>
    <row r="39" spans="1:2" s="1596" customFormat="1">
      <c r="A39" s="1594" t="s">
        <v>1242</v>
      </c>
      <c r="B39" s="1595" t="str">
        <f>'预评函-2'!D21</f>
        <v>——</v>
      </c>
    </row>
    <row r="40" spans="1:2" s="1596" customFormat="1">
      <c r="A40" s="1594" t="s">
        <v>1243</v>
      </c>
      <c r="B40" s="1595" t="e">
        <f>'预评函-2'!D20</f>
        <v>#VALUE!</v>
      </c>
    </row>
    <row r="41" spans="1:2" s="1596" customFormat="1">
      <c r="A41" s="1594" t="s">
        <v>1289</v>
      </c>
      <c r="B41" s="1595" t="str">
        <f>'预评函-3'!A4</f>
        <v>北京市石景山区西黄新村北里甲11号楼房地产</v>
      </c>
    </row>
    <row r="42" spans="1:2" s="1596" customFormat="1">
      <c r="A42" s="1594" t="s">
        <v>1287</v>
      </c>
      <c r="B42" s="1595" t="str">
        <f>'预评函-3'!B2</f>
        <v>建筑面积</v>
      </c>
    </row>
    <row r="43" spans="1:2" s="1596" customFormat="1">
      <c r="A43" s="1594" t="s">
        <v>1288</v>
      </c>
      <c r="B43" s="1595">
        <f>'预评函-3'!B4</f>
        <v>3096.45</v>
      </c>
    </row>
    <row r="44" spans="1:2" s="1596" customFormat="1">
      <c r="A44" s="1594" t="s">
        <v>1272</v>
      </c>
      <c r="B44" s="1595" t="str">
        <f>'预评函-3'!C2</f>
        <v>(分摊)土地面积</v>
      </c>
    </row>
    <row r="45" spans="1:2" s="1596" customFormat="1">
      <c r="A45" s="1594" t="s">
        <v>1244</v>
      </c>
      <c r="B45" s="1595">
        <f>'预评函-3'!C4</f>
        <v>478.53</v>
      </c>
    </row>
    <row r="46" spans="1:2" s="1596" customFormat="1">
      <c r="A46" s="1594" t="s">
        <v>1270</v>
      </c>
      <c r="B46" s="1595" t="str">
        <f>'预评函-3'!D2</f>
        <v>出让国有建设用地使用权价值</v>
      </c>
    </row>
    <row r="47" spans="1:2" s="1596" customFormat="1">
      <c r="A47" s="1594" t="s">
        <v>1245</v>
      </c>
      <c r="B47" s="1595" t="e">
        <f ca="1">'预评函-3'!D4</f>
        <v>#REF!</v>
      </c>
    </row>
    <row r="48" spans="1:2" s="1596" customFormat="1">
      <c r="A48" s="1594" t="s">
        <v>1246</v>
      </c>
      <c r="B48" s="1595" t="e">
        <f ca="1">'预评函-3'!E4</f>
        <v>#REF!</v>
      </c>
    </row>
    <row r="49" spans="1:2" s="1596" customFormat="1">
      <c r="A49" s="1594" t="s">
        <v>1247</v>
      </c>
      <c r="B49" s="1595" t="e">
        <f ca="1">'预评函-3'!D5</f>
        <v>#REF!</v>
      </c>
    </row>
    <row r="50" spans="1:2" s="1596" customFormat="1">
      <c r="A50" s="1594" t="s">
        <v>1271</v>
      </c>
      <c r="B50" s="1595" t="str">
        <f>'预评函-3'!F2</f>
        <v>在建建筑物价值</v>
      </c>
    </row>
    <row r="51" spans="1:2" s="1596" customFormat="1">
      <c r="A51" s="1594" t="s">
        <v>1248</v>
      </c>
      <c r="B51" s="1595" t="e">
        <f ca="1">'预评函-3'!F4</f>
        <v>#REF!</v>
      </c>
    </row>
    <row r="52" spans="1:2" s="1596" customFormat="1">
      <c r="A52" s="1594" t="s">
        <v>1249</v>
      </c>
      <c r="B52" s="1595" t="e">
        <f ca="1">'预评函-3'!G4</f>
        <v>#REF!</v>
      </c>
    </row>
    <row r="53" spans="1:2" s="1596" customFormat="1">
      <c r="A53" s="1594" t="s">
        <v>1277</v>
      </c>
      <c r="B53" s="1595" t="e">
        <f ca="1">'预评函-3'!F5</f>
        <v>#REF!</v>
      </c>
    </row>
    <row r="54" spans="1:2" s="1596" customFormat="1">
      <c r="A54" s="1594" t="s">
        <v>1295</v>
      </c>
      <c r="B54" s="1595" t="str">
        <f>'预评函-3'!A8</f>
        <v/>
      </c>
    </row>
    <row r="55" spans="1:2" s="1596" customFormat="1">
      <c r="A55" s="1594" t="s">
        <v>1278</v>
      </c>
      <c r="B55" s="1595" t="str">
        <f>'预评函-3'!A10</f>
        <v/>
      </c>
    </row>
    <row r="56" spans="1:2" s="1596" customFormat="1">
      <c r="A56" s="1594" t="s">
        <v>1279</v>
      </c>
      <c r="B56" s="1595" t="str">
        <f>'预评函-3'!A12</f>
        <v/>
      </c>
    </row>
    <row r="57" spans="1:2" s="1590" customFormat="1" ht="15" thickBot="1">
      <c r="A57" s="1597" t="s">
        <v>1296</v>
      </c>
      <c r="B57" s="1598" t="str">
        <f>'预评函-3'!A6</f>
        <v/>
      </c>
    </row>
    <row r="58" spans="1:2" s="1593" customFormat="1" ht="15" thickTop="1">
      <c r="A58" s="1591" t="s">
        <v>1250</v>
      </c>
      <c r="B58" s="1592" t="str">
        <f>'预评函-4'!A12</f>
        <v>2.本次评估设定估价对象房地产权属无争议，未被查封或者以其他形式限制其房地产权利，未设定抵押权等他项权利，不涉及第三方权利义务。</v>
      </c>
    </row>
    <row r="59" spans="1:2" s="1596" customFormat="1">
      <c r="A59" s="1594" t="s">
        <v>1251</v>
      </c>
      <c r="B59" s="1595" t="str">
        <f>'预评函-4'!A13</f>
        <v>——</v>
      </c>
    </row>
    <row r="60" spans="1:2" s="1596" customFormat="1">
      <c r="A60" s="1594" t="s">
        <v>1252</v>
      </c>
      <c r="B60" s="1595" t="str">
        <f>'预评函-4'!A14</f>
        <v>——</v>
      </c>
    </row>
    <row r="61" spans="1:2" s="1596" customFormat="1">
      <c r="A61" s="1594" t="s">
        <v>1253</v>
      </c>
      <c r="B61" s="1595" t="str">
        <f>'预评函-4'!A15</f>
        <v>——</v>
      </c>
    </row>
    <row r="62" spans="1:2" s="1596" customFormat="1">
      <c r="A62" s="1594" t="s">
        <v>1254</v>
      </c>
      <c r="B62" s="1595" t="str">
        <f>'预评函-4'!A16</f>
        <v>（2）根据《工程款支付情况说明》，截至价值时点，估价对象不存在应付未付工程款项。（只要没有施工方盖章的，均“设定”进行表述）</v>
      </c>
    </row>
    <row r="63" spans="1:2" s="1596" customFormat="1">
      <c r="A63" s="1594" t="s">
        <v>1255</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1267</v>
      </c>
      <c r="B64" s="1595" t="str">
        <f>'预评函-4'!A18</f>
        <v>——</v>
      </c>
    </row>
    <row r="65" spans="1:2" s="1596" customFormat="1">
      <c r="A65" s="1594" t="s">
        <v>1256</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1257</v>
      </c>
      <c r="B66" s="1595" t="str">
        <f>'预评函-4'!A20</f>
        <v>——</v>
      </c>
    </row>
    <row r="67" spans="1:2" s="1596" customFormat="1">
      <c r="A67" s="1594" t="s">
        <v>1268</v>
      </c>
      <c r="B67" s="1595" t="str">
        <f>'预评函-4'!A21</f>
        <v>——</v>
      </c>
    </row>
    <row r="68" spans="1:2" s="1596" customFormat="1">
      <c r="A68" s="1594" t="s">
        <v>1269</v>
      </c>
      <c r="B68" s="1595" t="str">
        <f>'预评函-4'!A22</f>
        <v>8.其他需特殊说明事项：无（注意调整序号）</v>
      </c>
    </row>
    <row r="69" spans="1:2" s="1590" customFormat="1" ht="15" thickBot="1">
      <c r="A69" s="1597" t="s">
        <v>1258</v>
      </c>
      <c r="B69" s="1599">
        <f>'预评函-4'!C31</f>
        <v>42551</v>
      </c>
    </row>
    <row r="70" spans="1:2" ht="15" thickTop="1">
      <c r="A70" s="1600" t="s">
        <v>1259</v>
      </c>
      <c r="B70" s="1601" t="str">
        <f>'预评函-4'!A4</f>
        <v>陈颖</v>
      </c>
    </row>
    <row r="71" spans="1:2">
      <c r="A71" s="1594" t="s">
        <v>1260</v>
      </c>
      <c r="B71" s="1595">
        <f ca="1">'预评函-4'!B4</f>
        <v>1120060040</v>
      </c>
    </row>
    <row r="72" spans="1:2">
      <c r="A72" s="1594" t="s">
        <v>1261</v>
      </c>
      <c r="B72" s="1603" t="str">
        <f>'预评函-4'!A5</f>
        <v>叶凌</v>
      </c>
    </row>
    <row r="73" spans="1:2" s="1590" customFormat="1" ht="15" thickBot="1">
      <c r="A73" s="1597" t="s">
        <v>1262</v>
      </c>
      <c r="B73" s="1598">
        <f ca="1">'预评函-4'!B5</f>
        <v>1119970111</v>
      </c>
    </row>
    <row r="74" spans="1:2" ht="15" thickTop="1">
      <c r="A74" s="1587" t="s">
        <v>1298</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0" t="str">
        <f>项目基本情况!B1</f>
        <v>北京市石景山区西黄新村北里甲11号楼房地产市场价值预评估</v>
      </c>
      <c r="C37" s="2990"/>
      <c r="D37" s="2990"/>
      <c r="E37" s="2990"/>
      <c r="F37" s="2990"/>
      <c r="G37" s="2990"/>
      <c r="H37" s="2990"/>
      <c r="I37" s="2990"/>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陈颖（注册号：1120060040)、叶凌（注册号：1119970111)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36">
      <c r="A4" s="1951" t="str">
        <f>"受贵公司委托，我公司对"&amp;项目基本情况!S1&amp;"进行了预评估。"</f>
        <v>受贵公司委托，我公司对北京市石景山区西黄新村北里甲11号楼房地产市场价值进行了预评估。</v>
      </c>
    </row>
    <row r="5" spans="1:1" ht="18.75">
      <c r="A5" s="1952" t="s">
        <v>1611</v>
      </c>
    </row>
    <row r="6" spans="1:1" ht="18.75">
      <c r="A6" s="1953" t="s">
        <v>1612</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估价对象为北京市石景山区西黄新村北里甲11号楼房地产，为所有。根据《国有土地使用证》[]，估价对象（分摊）出让国有建设用地使用权面积为478.53平方米，建筑面积为3096.45平方米。</v>
      </c>
    </row>
    <row r="8" spans="1:1" ht="57.75">
      <c r="A8" s="1954" t="s">
        <v>1613</v>
      </c>
    </row>
    <row r="9" spans="1:1" ht="18.75">
      <c r="A9" s="1953" t="s">
        <v>1614</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西黄新村北里甲11号楼房地产,属开发建设的，该项目尚在开发建设中。根据《国有土地使用证》[]，估价对象（分摊）出让国有建设用地使用权面积为478.53平方米，规划建筑面积为3096.45平方米。</v>
      </c>
    </row>
    <row r="11" spans="1:1" ht="76.5">
      <c r="A11" s="1954" t="s">
        <v>1615</v>
      </c>
    </row>
    <row r="12" spans="1:1" ht="18.75">
      <c r="A12" s="1952" t="s">
        <v>1616</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1617</v>
      </c>
    </row>
    <row r="15" spans="1:1" ht="18">
      <c r="A15" s="1957" t="str">
        <f>TEXT(项目基本情况!D3,"yyyy年m月d日;;")&amp;IF(项目基本情况!D3=项目基本情况!B3,"（评估专业人员实地查勘之日）","")</f>
        <v>2018年9月16日</v>
      </c>
    </row>
    <row r="16" spans="1:1" ht="18.75">
      <c r="A16" s="1956" t="s">
        <v>1618</v>
      </c>
    </row>
    <row r="17" spans="1:1" ht="75">
      <c r="A17" s="1951" t="s">
        <v>1619</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1608</v>
      </c>
    </row>
    <row r="24" spans="1:1" ht="18">
      <c r="A24" s="1958" t="str">
        <f>"本次评估采用的主估价方法为"&amp;结果表!K4&amp;"和"&amp;结果表!L4&amp;"。"</f>
        <v>本次评估采用的主估价方法为收益法和成本法。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29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95"/>
      <c r="C2" s="2995"/>
      <c r="D2" s="2995"/>
      <c r="E2" s="2995"/>
    </row>
    <row r="3" spans="1:5" ht="18">
      <c r="A3" s="2996" t="str">
        <f>IF(项目基本情况!B9="房地产市场价值","估价结果一览表（市场价值不需“结果表-1”）","估价结果一览表")</f>
        <v>估价结果一览表（市场价值不需“结果表-1”）</v>
      </c>
      <c r="B3" s="2996"/>
      <c r="C3" s="2996"/>
      <c r="D3" s="2996"/>
      <c r="E3" s="2996"/>
    </row>
    <row r="4" spans="1:5" ht="19.5" thickBot="1">
      <c r="A4" s="1964"/>
      <c r="B4" s="2994" t="s">
        <v>1629</v>
      </c>
      <c r="C4" s="2994"/>
      <c r="D4" s="2994"/>
      <c r="E4" s="1964"/>
    </row>
    <row r="5" spans="1:5" ht="16.5" thickTop="1">
      <c r="A5" s="1962"/>
      <c r="B5" s="2992" t="s">
        <v>1621</v>
      </c>
      <c r="C5" s="1965" t="s">
        <v>1622</v>
      </c>
      <c r="D5" s="1043">
        <f ca="1">结果表!H101</f>
        <v>7294</v>
      </c>
      <c r="E5" s="1962"/>
    </row>
    <row r="6" spans="1:5" ht="15.75">
      <c r="A6" s="1962"/>
      <c r="B6" s="2992"/>
      <c r="C6" s="1965" t="s">
        <v>1623</v>
      </c>
      <c r="D6" s="1043" t="str">
        <f ca="1">NUMBERSTRING(INT(D5*10000),2)&amp;"元整"</f>
        <v>柒仟贰佰玖拾肆万元整</v>
      </c>
      <c r="E6" s="1962"/>
    </row>
    <row r="7" spans="1:5" ht="15.75">
      <c r="A7" s="1962"/>
      <c r="B7" s="2997"/>
      <c r="C7" s="1966" t="s">
        <v>1624</v>
      </c>
      <c r="D7" s="1044">
        <f ca="1">结果表!H102</f>
        <v>23556</v>
      </c>
      <c r="E7" s="1962"/>
    </row>
    <row r="8" spans="1:5" ht="15.75">
      <c r="A8" s="1962"/>
      <c r="B8" s="2998" t="str">
        <f>结果表!E103</f>
        <v>2.估价师知悉的法定优先受偿款</v>
      </c>
      <c r="C8" s="1967" t="s">
        <v>1625</v>
      </c>
      <c r="D8" s="1044">
        <f>结果表!H103</f>
        <v>0</v>
      </c>
      <c r="E8" s="1962"/>
    </row>
    <row r="9" spans="1:5" ht="15.75">
      <c r="A9" s="1962"/>
      <c r="B9" s="3000"/>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91" t="str">
        <f>结果表!E107</f>
        <v>3.房地产抵押价值</v>
      </c>
      <c r="C13" s="1970" t="s">
        <v>1622</v>
      </c>
      <c r="D13" s="1046">
        <f ca="1">结果表!H107</f>
        <v>7294</v>
      </c>
      <c r="E13" s="1962"/>
    </row>
    <row r="14" spans="1:5" ht="15.75">
      <c r="A14" s="1962"/>
      <c r="B14" s="2992"/>
      <c r="C14" s="1965" t="s">
        <v>1623</v>
      </c>
      <c r="D14" s="1043" t="str">
        <f ca="1">NUMBERSTRING(INT(D13*10000),2)&amp;"元整"</f>
        <v>柒仟贰佰玖拾肆万元整</v>
      </c>
      <c r="E14" s="1962"/>
    </row>
    <row r="15" spans="1:5" ht="15">
      <c r="A15" s="1962"/>
      <c r="B15" s="2997"/>
      <c r="C15" s="1966" t="s">
        <v>1633</v>
      </c>
      <c r="D15" s="1055">
        <f ca="1">结果表!H108</f>
        <v>23556</v>
      </c>
      <c r="E15" s="1962"/>
    </row>
    <row r="16" spans="1:5" ht="15">
      <c r="A16" s="1962"/>
      <c r="B16" s="2998" t="str">
        <f>结果表!E109</f>
        <v>——</v>
      </c>
      <c r="C16" s="1970" t="s">
        <v>1634</v>
      </c>
      <c r="D16" s="1971" t="str">
        <f>结果表!H109</f>
        <v>——</v>
      </c>
      <c r="E16" s="1962"/>
    </row>
    <row r="17" spans="1:5" ht="15.75">
      <c r="A17" s="1962"/>
      <c r="B17" s="2999"/>
      <c r="C17" s="1965" t="s">
        <v>1635</v>
      </c>
      <c r="D17" s="1043" t="e">
        <f>NUMBERSTRING(INT(D16*10000),2)&amp;"元整"</f>
        <v>#VALUE!</v>
      </c>
      <c r="E17" s="1962"/>
    </row>
    <row r="18" spans="1:5" ht="15">
      <c r="A18" s="1962"/>
      <c r="B18" s="3000"/>
      <c r="C18" s="1966" t="s">
        <v>1624</v>
      </c>
      <c r="D18" s="1055" t="str">
        <f>结果表!H110</f>
        <v>——</v>
      </c>
      <c r="E18" s="1962"/>
    </row>
    <row r="19" spans="1:5" ht="15.75">
      <c r="A19" s="1962"/>
      <c r="B19" s="2991" t="str">
        <f>结果表!E111</f>
        <v>——</v>
      </c>
      <c r="C19" s="1970" t="s">
        <v>1622</v>
      </c>
      <c r="D19" s="1044" t="str">
        <f>结果表!H111</f>
        <v>——</v>
      </c>
      <c r="E19" s="1962"/>
    </row>
    <row r="20" spans="1:5" ht="15.75">
      <c r="A20" s="1962"/>
      <c r="B20" s="2992"/>
      <c r="C20" s="1965" t="s">
        <v>1635</v>
      </c>
      <c r="D20" s="1043" t="e">
        <f>NUMBERSTRING(INT(D19*10000),2)&amp;"元整"</f>
        <v>#VALUE!</v>
      </c>
      <c r="E20" s="1962"/>
    </row>
    <row r="21" spans="1:5" ht="15.75" thickBot="1">
      <c r="A21" s="1962"/>
      <c r="B21" s="2993"/>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10" t="str">
        <f>IF(项目基本情况!B9="房地产市场价值","估价结果一览表","结果表-2")</f>
        <v>估价结果一览表</v>
      </c>
      <c r="B1" s="3010"/>
      <c r="C1" s="3010"/>
      <c r="D1" s="3010"/>
      <c r="E1" s="3010"/>
      <c r="F1" s="3010"/>
      <c r="G1" s="3010"/>
      <c r="H1" s="3010"/>
      <c r="I1" s="3010"/>
    </row>
    <row r="2" spans="1:9" ht="30" customHeight="1" thickTop="1">
      <c r="A2" s="3011" t="s">
        <v>1640</v>
      </c>
      <c r="B2" s="3011" t="s">
        <v>1641</v>
      </c>
      <c r="C2" s="3011" t="s">
        <v>1642</v>
      </c>
      <c r="D2" s="3011" t="str">
        <f>结果表!D116</f>
        <v>出让国有建设用地使用权价值</v>
      </c>
      <c r="E2" s="3011"/>
      <c r="F2" s="3011" t="str">
        <f>结果表!F116</f>
        <v>在建建筑物价值</v>
      </c>
      <c r="G2" s="3011"/>
      <c r="H2" s="3011" t="str">
        <f>IF(项目基本情况!B9="房地产市场价值","房地产市场价值","房地产价值")</f>
        <v>房地产市场价值</v>
      </c>
      <c r="I2" s="3011"/>
    </row>
    <row r="3" spans="1:9" ht="15">
      <c r="A3" s="3005"/>
      <c r="B3" s="3005"/>
      <c r="C3" s="3005"/>
      <c r="D3" s="1047" t="s">
        <v>1637</v>
      </c>
      <c r="E3" s="1047" t="s">
        <v>1643</v>
      </c>
      <c r="F3" s="1047" t="s">
        <v>1637</v>
      </c>
      <c r="G3" s="1047" t="s">
        <v>1638</v>
      </c>
      <c r="H3" s="1047" t="s">
        <v>1637</v>
      </c>
      <c r="I3" s="1047" t="s">
        <v>1638</v>
      </c>
    </row>
    <row r="4" spans="1:9" ht="30">
      <c r="A4" s="1976" t="str">
        <f>项目基本情况!S2</f>
        <v>北京市石景山区西黄新村北里甲11号楼房地产</v>
      </c>
      <c r="B4" s="1047">
        <f>项目基本情况!C17</f>
        <v>3096.45</v>
      </c>
      <c r="C4" s="1047">
        <f>项目基本情况!C18</f>
        <v>478.53</v>
      </c>
      <c r="D4" s="1047" t="e">
        <f ca="1">结果表!D118</f>
        <v>#REF!</v>
      </c>
      <c r="E4" s="1047" t="e">
        <f ca="1">结果表!E118</f>
        <v>#REF!</v>
      </c>
      <c r="F4" s="1047" t="e">
        <f ca="1">结果表!F118</f>
        <v>#REF!</v>
      </c>
      <c r="G4" s="1047" t="e">
        <f ca="1">结果表!G118</f>
        <v>#REF!</v>
      </c>
      <c r="H4" s="1047">
        <f ca="1">结果表!H118</f>
        <v>7294</v>
      </c>
      <c r="I4" s="1047">
        <f ca="1">结果表!I118</f>
        <v>23556</v>
      </c>
    </row>
    <row r="5" spans="1:9" ht="30" customHeight="1">
      <c r="A5" s="3005" t="s">
        <v>1639</v>
      </c>
      <c r="B5" s="3005"/>
      <c r="C5" s="3005"/>
      <c r="D5" s="3006" t="e">
        <f ca="1">结果表!D119</f>
        <v>#REF!</v>
      </c>
      <c r="E5" s="3006"/>
      <c r="F5" s="3006" t="e">
        <f ca="1">结果表!F119</f>
        <v>#REF!</v>
      </c>
      <c r="G5" s="3006"/>
      <c r="H5" s="3006" t="str">
        <f ca="1">结果表!H119</f>
        <v>柒仟贰佰玖拾肆万元整</v>
      </c>
      <c r="I5" s="3006"/>
    </row>
    <row r="6" spans="1:9" ht="15.75">
      <c r="A6" s="3004" t="str">
        <f>结果表!A120</f>
        <v/>
      </c>
      <c r="B6" s="3004"/>
      <c r="C6" s="3004"/>
      <c r="D6" s="3004">
        <f>结果表!D120</f>
        <v>0</v>
      </c>
      <c r="E6" s="3004"/>
      <c r="F6" s="3004"/>
      <c r="G6" s="3004"/>
      <c r="H6" s="3004"/>
      <c r="I6" s="3004"/>
    </row>
    <row r="7" spans="1:9" ht="15">
      <c r="A7" s="3005" t="s">
        <v>1639</v>
      </c>
      <c r="B7" s="3005"/>
      <c r="C7" s="3005"/>
      <c r="D7" s="3007" t="str">
        <f>结果表!D121</f>
        <v>零元整</v>
      </c>
      <c r="E7" s="3008"/>
      <c r="F7" s="3008"/>
      <c r="G7" s="3008"/>
      <c r="H7" s="3008"/>
      <c r="I7" s="3009"/>
    </row>
    <row r="8" spans="1:9" ht="15.75">
      <c r="A8" s="3004" t="str">
        <f>结果表!A122</f>
        <v/>
      </c>
      <c r="B8" s="3004"/>
      <c r="C8" s="3004"/>
      <c r="D8" s="3004">
        <f ca="1">结果表!D122</f>
        <v>7294</v>
      </c>
      <c r="E8" s="3004"/>
      <c r="F8" s="3004"/>
      <c r="G8" s="3004"/>
      <c r="H8" s="3004"/>
      <c r="I8" s="3004"/>
    </row>
    <row r="9" spans="1:9" ht="15">
      <c r="A9" s="3005" t="s">
        <v>1639</v>
      </c>
      <c r="B9" s="3005"/>
      <c r="C9" s="3005"/>
      <c r="D9" s="3006" t="str">
        <f ca="1">结果表!D123</f>
        <v>柒仟贰佰玖拾肆万元整</v>
      </c>
      <c r="E9" s="3006"/>
      <c r="F9" s="3006"/>
      <c r="G9" s="3006"/>
      <c r="H9" s="3006"/>
      <c r="I9" s="3006"/>
    </row>
    <row r="10" spans="1:9" ht="15.75">
      <c r="A10" s="3004" t="str">
        <f>结果表!A124</f>
        <v/>
      </c>
      <c r="B10" s="3004"/>
      <c r="C10" s="3004"/>
      <c r="D10" s="3004" t="str">
        <f>结果表!D124</f>
        <v>——</v>
      </c>
      <c r="E10" s="3004"/>
      <c r="F10" s="3004"/>
      <c r="G10" s="3004"/>
      <c r="H10" s="3004"/>
      <c r="I10" s="3004"/>
    </row>
    <row r="11" spans="1:9" ht="15">
      <c r="A11" s="3005" t="s">
        <v>1639</v>
      </c>
      <c r="B11" s="3005"/>
      <c r="C11" s="3005"/>
      <c r="D11" s="3006" t="e">
        <f>结果表!D125</f>
        <v>#VALUE!</v>
      </c>
      <c r="E11" s="3006"/>
      <c r="F11" s="3006"/>
      <c r="G11" s="3006"/>
      <c r="H11" s="3006"/>
      <c r="I11" s="3006"/>
    </row>
    <row r="12" spans="1:9" ht="15.75">
      <c r="A12" s="3004" t="str">
        <f>结果表!A126</f>
        <v/>
      </c>
      <c r="B12" s="3004"/>
      <c r="C12" s="3004"/>
      <c r="D12" s="3004" t="str">
        <f>结果表!D126</f>
        <v>——</v>
      </c>
      <c r="E12" s="3004"/>
      <c r="F12" s="3004"/>
      <c r="G12" s="3004"/>
      <c r="H12" s="3004"/>
      <c r="I12" s="3004"/>
    </row>
    <row r="13" spans="1:9" ht="15.75" thickBot="1">
      <c r="A13" s="3001" t="s">
        <v>1639</v>
      </c>
      <c r="B13" s="3001"/>
      <c r="C13" s="3001"/>
      <c r="D13" s="3002" t="e">
        <f>结果表!D127</f>
        <v>#VALUE!</v>
      </c>
      <c r="E13" s="3002"/>
      <c r="F13" s="3002"/>
      <c r="G13" s="3002"/>
      <c r="H13" s="3002"/>
      <c r="I13" s="3002"/>
    </row>
    <row r="14" spans="1:9" ht="15" thickTop="1">
      <c r="A14" s="3003" t="s">
        <v>1644</v>
      </c>
      <c r="B14" s="3003"/>
      <c r="C14" s="3003"/>
      <c r="D14" s="3003"/>
      <c r="E14" s="3003"/>
      <c r="F14" s="3003"/>
      <c r="G14" s="3003"/>
      <c r="H14" s="3003"/>
      <c r="I14" s="3003"/>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18" t="s">
        <v>1661</v>
      </c>
      <c r="B1" s="3018"/>
      <c r="C1" s="3018"/>
      <c r="D1" s="3018"/>
    </row>
    <row r="2" spans="1:4" ht="18">
      <c r="A2" s="3019" t="s">
        <v>1645</v>
      </c>
      <c r="B2" s="3019"/>
      <c r="C2" s="3019"/>
      <c r="D2" s="3019"/>
    </row>
    <row r="3" spans="1:4" ht="18.75">
      <c r="A3" s="1980" t="s">
        <v>1646</v>
      </c>
      <c r="B3" s="1980" t="s">
        <v>1647</v>
      </c>
      <c r="C3" s="1980" t="s">
        <v>1648</v>
      </c>
      <c r="D3" s="1980" t="s">
        <v>1649</v>
      </c>
    </row>
    <row r="4" spans="1:4" ht="56.25" customHeight="1">
      <c r="A4" s="1981" t="str">
        <f>项目基本情况!B4</f>
        <v>陈颖</v>
      </c>
      <c r="B4" s="1982">
        <f ca="1">项目基本情况!C4</f>
        <v>1120060040</v>
      </c>
      <c r="C4" s="1983"/>
      <c r="D4" s="1984" t="s">
        <v>1650</v>
      </c>
    </row>
    <row r="5" spans="1:4" ht="56.25" customHeight="1">
      <c r="A5" s="1981" t="str">
        <f>项目基本情况!D4</f>
        <v>叶凌</v>
      </c>
      <c r="B5" s="1982">
        <f ca="1">项目基本情况!E4</f>
        <v>1119970111</v>
      </c>
      <c r="C5" s="1985"/>
      <c r="D5" s="1984" t="s">
        <v>1650</v>
      </c>
    </row>
    <row r="6" spans="1:4" ht="18">
      <c r="A6" s="3019" t="s">
        <v>1651</v>
      </c>
      <c r="B6" s="3019"/>
      <c r="C6" s="3019"/>
      <c r="D6" s="3019"/>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3020" t="s">
        <v>1654</v>
      </c>
      <c r="B11" s="3012"/>
      <c r="C11" s="3012"/>
      <c r="D11" s="3012"/>
    </row>
    <row r="12" spans="1:4" ht="15.75">
      <c r="A12" s="30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7"/>
      <c r="C12" s="3017"/>
      <c r="D12" s="3017"/>
    </row>
    <row r="13" spans="1:4" ht="30" customHeight="1">
      <c r="A13" s="3012" t="str">
        <f>IF(项目基本情况!B8="抵押","3.抵押双方在办理抵押登记手续时，应使用本公司出具的正式《房地产评估报告》，特提醒报告使用者注意。","——")</f>
        <v>——</v>
      </c>
      <c r="B13" s="3017"/>
      <c r="C13" s="3017"/>
      <c r="D13" s="3017"/>
    </row>
    <row r="14" spans="1:4" ht="15.75" customHeight="1">
      <c r="A14" s="3012" t="str">
        <f>IF(项目基本情况!B8="抵押","4.本次评估估价师所知悉的法定优先受偿款情况说明如下：","——")</f>
        <v>——</v>
      </c>
      <c r="B14" s="3017"/>
      <c r="C14" s="3017"/>
      <c r="D14" s="3017"/>
    </row>
    <row r="15" spans="1:4" ht="42" customHeight="1">
      <c r="A15" s="3012" t="str">
        <f>IF(项目基本情况!B8="抵押","（1）"&amp;CONCATENATE(项目基本情况!L20,项目基本情况!L21,项目基本情况!L22),"——")</f>
        <v>——</v>
      </c>
      <c r="B15" s="3012"/>
      <c r="C15" s="3012"/>
      <c r="D15" s="3012"/>
    </row>
    <row r="16" spans="1:4" ht="30" customHeight="1">
      <c r="A16" s="3014" t="s">
        <v>1655</v>
      </c>
      <c r="B16" s="3014"/>
      <c r="C16" s="3014"/>
      <c r="D16" s="3014"/>
    </row>
    <row r="17" spans="1:4" ht="144" customHeight="1">
      <c r="A17" s="3014" t="s">
        <v>1656</v>
      </c>
      <c r="B17" s="3014"/>
      <c r="C17" s="3014"/>
      <c r="D17" s="3014"/>
    </row>
    <row r="18" spans="1:4" ht="15.75" customHeight="1">
      <c r="A18" s="3012" t="str">
        <f>IF(项目基本情况!B8="抵押",结果表!K120,"——")</f>
        <v>——</v>
      </c>
      <c r="B18" s="3012"/>
      <c r="C18" s="3012"/>
      <c r="D18" s="3012"/>
    </row>
    <row r="19" spans="1:4" ht="46.5" customHeight="1">
      <c r="A19" s="30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2"/>
      <c r="C19" s="3012"/>
      <c r="D19" s="3012"/>
    </row>
    <row r="20" spans="1:4" ht="57.75" customHeight="1">
      <c r="A20" s="30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2"/>
      <c r="C20" s="3012"/>
      <c r="D20" s="3012"/>
    </row>
    <row r="21" spans="1:4" ht="57.75" customHeight="1">
      <c r="A21" s="30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5"/>
      <c r="C21" s="3015"/>
      <c r="D21" s="3015"/>
    </row>
    <row r="22" spans="1:4" ht="18.75" customHeight="1">
      <c r="A22" s="3016" t="s">
        <v>1657</v>
      </c>
      <c r="B22" s="3016"/>
      <c r="C22" s="3016"/>
      <c r="D22" s="3016"/>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3013">
        <v>42551</v>
      </c>
      <c r="D31" s="301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3026" t="s">
        <v>1668</v>
      </c>
      <c r="B15" s="3021" t="s">
        <v>136</v>
      </c>
      <c r="C15" s="3022"/>
    </row>
    <row r="16" spans="1:7" ht="13.5">
      <c r="A16" s="3027"/>
      <c r="B16" s="3021" t="s">
        <v>69</v>
      </c>
      <c r="C16" s="3022"/>
    </row>
    <row r="17" spans="1:3" ht="13.5">
      <c r="A17" s="3027"/>
      <c r="B17" s="3024" t="s">
        <v>1669</v>
      </c>
      <c r="C17" s="2003" t="s">
        <v>1668</v>
      </c>
    </row>
    <row r="18" spans="1:3" ht="13.5">
      <c r="A18" s="3027"/>
      <c r="B18" s="3024"/>
      <c r="C18" s="2003" t="s">
        <v>1670</v>
      </c>
    </row>
    <row r="19" spans="1:3" ht="13.5">
      <c r="A19" s="3027"/>
      <c r="B19" s="3024"/>
      <c r="C19" s="2003" t="s">
        <v>1671</v>
      </c>
    </row>
    <row r="20" spans="1:3" ht="13.5">
      <c r="A20" s="3028"/>
      <c r="B20" s="3023" t="s">
        <v>1672</v>
      </c>
      <c r="C20" s="3022"/>
    </row>
    <row r="21" spans="1:3" ht="13.5">
      <c r="A21" s="2004" t="s">
        <v>1673</v>
      </c>
      <c r="B21" s="2005"/>
      <c r="C21" s="2006"/>
    </row>
    <row r="22" spans="1:3" ht="13.5">
      <c r="A22" s="3025" t="s">
        <v>1674</v>
      </c>
      <c r="B22" s="3023" t="s">
        <v>1675</v>
      </c>
      <c r="C22" s="3022"/>
    </row>
    <row r="23" spans="1:3" ht="13.5">
      <c r="A23" s="3025"/>
      <c r="B23" s="3023" t="s">
        <v>1676</v>
      </c>
      <c r="C23" s="3022"/>
    </row>
    <row r="24" spans="1:3" ht="13.5">
      <c r="A24" s="3025"/>
      <c r="B24" s="3023" t="s">
        <v>1677</v>
      </c>
      <c r="C24" s="3022"/>
    </row>
    <row r="25" spans="1:3" ht="13.5">
      <c r="A25" s="3025"/>
      <c r="B25" s="3024" t="s">
        <v>1678</v>
      </c>
      <c r="C25" s="2003" t="s">
        <v>1679</v>
      </c>
    </row>
    <row r="26" spans="1:3" ht="13.5">
      <c r="A26" s="3025"/>
      <c r="B26" s="3024"/>
      <c r="C26" s="2003" t="s">
        <v>1680</v>
      </c>
    </row>
    <row r="27" spans="1:3" ht="13.5">
      <c r="A27" s="3025"/>
      <c r="B27" s="3024"/>
      <c r="C27" s="2003" t="s">
        <v>1681</v>
      </c>
    </row>
    <row r="28" spans="1:3" ht="13.5">
      <c r="A28" s="3025"/>
      <c r="B28" s="3024"/>
      <c r="C28" s="2003" t="s">
        <v>1682</v>
      </c>
    </row>
    <row r="29" spans="1:3" ht="13.5">
      <c r="A29" s="3025"/>
      <c r="B29" s="3024"/>
      <c r="C29" s="2003" t="s">
        <v>1683</v>
      </c>
    </row>
    <row r="30" spans="1:3" ht="13.5">
      <c r="A30" s="3025"/>
      <c r="B30" s="3024"/>
      <c r="C30" s="2003" t="s">
        <v>1684</v>
      </c>
    </row>
    <row r="31" spans="1:3" ht="13.5">
      <c r="A31" s="3025"/>
      <c r="B31" s="3024"/>
      <c r="C31" s="2003" t="s">
        <v>1685</v>
      </c>
    </row>
    <row r="32" spans="1:3" ht="13.5">
      <c r="A32" s="3025"/>
      <c r="B32" s="3024"/>
      <c r="C32" s="2003" t="s">
        <v>1686</v>
      </c>
    </row>
    <row r="33" spans="1:3" ht="13.5">
      <c r="A33" s="3025"/>
      <c r="B33" s="3024"/>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43440</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t="str">
        <f ca="1">IF(C7&lt;B2,"已过期",1120050019)</f>
        <v>已过期</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3045</v>
      </c>
      <c r="B12" s="1025">
        <v>1120110054</v>
      </c>
      <c r="C12" s="2946">
        <v>43937</v>
      </c>
      <c r="D12" s="1705" t="s">
        <v>3045</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1148</v>
      </c>
      <c r="B15" s="1025">
        <v>1120070085</v>
      </c>
      <c r="C15" s="2351">
        <v>43814</v>
      </c>
      <c r="D15" s="2355" t="s">
        <v>1148</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1332</v>
      </c>
      <c r="B24" s="1706" t="s">
        <v>1332</v>
      </c>
      <c r="C24" s="2352" t="s">
        <v>1332</v>
      </c>
      <c r="D24" s="2355" t="s">
        <v>1332</v>
      </c>
      <c r="E24" s="1706" t="s">
        <v>1332</v>
      </c>
      <c r="F24" s="1706" t="s">
        <v>1332</v>
      </c>
    </row>
    <row r="25" spans="1:7" ht="24" customHeight="1">
      <c r="A25" s="3029" t="s">
        <v>846</v>
      </c>
      <c r="B25" s="3029"/>
      <c r="C25" s="3029"/>
      <c r="D25" s="3029"/>
      <c r="E25" s="3029"/>
      <c r="F25" s="3029"/>
      <c r="G25" s="3029"/>
    </row>
    <row r="26" spans="1:7" s="1028" customFormat="1" ht="24" customHeight="1">
      <c r="A26" s="3030" t="s">
        <v>847</v>
      </c>
      <c r="B26" s="3030"/>
      <c r="C26" s="3031"/>
      <c r="D26" s="3032" t="s">
        <v>848</v>
      </c>
      <c r="E26" s="3030"/>
      <c r="F26" s="3030"/>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1383</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3077</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1146</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3079</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西黄新村北里甲11号楼房地产作为抵押担保物，向办理贷款手续。特委托北京康正宏基房地产评估有限公司对上述抵押物进行评估。本次评估为确定房地产抵押贷款额度提供参考依据而评估房地产抵押价值。</v>
      </c>
      <c r="D51" s="2025" t="s">
        <v>1283</v>
      </c>
    </row>
    <row r="52" spans="1:4">
      <c r="A52" s="2024" t="s">
        <v>858</v>
      </c>
      <c r="B52" s="2024" t="s">
        <v>859</v>
      </c>
      <c r="C52" s="2022" t="s">
        <v>860</v>
      </c>
      <c r="D52" s="2022" t="s">
        <v>861</v>
      </c>
    </row>
    <row r="53" spans="1:4">
      <c r="A53" s="3033"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3"/>
      <c r="B54" s="2025" t="s">
        <v>864</v>
      </c>
      <c r="C54" s="2022" t="s">
        <v>1280</v>
      </c>
    </row>
    <row r="55" spans="1:4">
      <c r="A55" s="3033"/>
      <c r="B55" s="2025" t="s">
        <v>865</v>
      </c>
      <c r="C55" s="2022" t="s">
        <v>1281</v>
      </c>
    </row>
    <row r="56" spans="1:4">
      <c r="A56" s="3033"/>
      <c r="B56" s="2025" t="s">
        <v>866</v>
      </c>
      <c r="C56" s="2022" t="s">
        <v>1285</v>
      </c>
    </row>
    <row r="57" spans="1:4">
      <c r="A57" s="3033"/>
      <c r="B57" s="2025" t="s">
        <v>867</v>
      </c>
      <c r="C57" s="2022" t="s">
        <v>1282</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42" t="str">
        <f>IF(B10="北京市","北京市",C10)&amp;F10&amp;IF(结果表!G1="在建","出让国有建设用地使用权及在建建筑物",IF(结果表!G1="土地","出让国有建设用地使用权",))&amp;B9&amp;"预评估"</f>
        <v>北京市石景山区西黄新村北里甲11号楼房地产市场价值预评估</v>
      </c>
      <c r="C1" s="3043"/>
      <c r="D1" s="3043"/>
      <c r="E1" s="3043"/>
      <c r="F1" s="3043"/>
      <c r="G1" s="3043"/>
      <c r="H1" s="3043"/>
      <c r="I1" s="3044"/>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北京市石景山区西黄新村北里甲11号楼房地产市场价值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北京市石景山区西黄新村北里甲11号楼房地产</v>
      </c>
    </row>
    <row r="3" spans="1:19" ht="18" customHeight="1">
      <c r="A3" s="2038" t="s">
        <v>1777</v>
      </c>
      <c r="B3" s="2039"/>
      <c r="C3" s="2040" t="s">
        <v>1778</v>
      </c>
      <c r="D3" s="2039">
        <v>43359</v>
      </c>
      <c r="E3" s="2029"/>
      <c r="F3" s="2029"/>
      <c r="G3" s="2029"/>
      <c r="H3" s="2029"/>
      <c r="I3" s="2029"/>
      <c r="J3" s="2029"/>
      <c r="K3" s="2030"/>
      <c r="L3" s="2031"/>
      <c r="M3" s="2031"/>
      <c r="N3" s="2032"/>
      <c r="O3" s="2033"/>
      <c r="P3" s="2032"/>
      <c r="Q3" s="2032"/>
      <c r="R3" s="2032"/>
      <c r="S3" s="2034"/>
    </row>
    <row r="4" spans="1:19" ht="18" customHeight="1" thickBot="1">
      <c r="A4" s="2041" t="s">
        <v>1779</v>
      </c>
      <c r="B4" s="2042" t="s">
        <v>3048</v>
      </c>
      <c r="C4" s="1040">
        <f ca="1">SUMIF(注册房地产估价师,B4,估价师及机构信息!B3:B24)</f>
        <v>1120060040</v>
      </c>
      <c r="D4" s="2042" t="s">
        <v>3049</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陈颖（注册号：1120060040)、叶凌（注册号：1119970111)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3050</v>
      </c>
      <c r="C8" s="2059"/>
      <c r="D8" s="3045" t="s">
        <v>1784</v>
      </c>
      <c r="E8" s="2060"/>
      <c r="F8" s="2061"/>
      <c r="G8" s="2029"/>
      <c r="H8" s="2029"/>
      <c r="I8" s="2029"/>
      <c r="J8" s="2045"/>
      <c r="K8" s="2046"/>
      <c r="L8" s="2031"/>
      <c r="M8" s="2031"/>
      <c r="N8" s="2032"/>
      <c r="O8" s="2033"/>
      <c r="P8" s="2032"/>
      <c r="Q8" s="2032"/>
      <c r="R8" s="2032"/>
    </row>
    <row r="9" spans="1:19" ht="18" customHeight="1" thickBot="1">
      <c r="A9" s="2043" t="s">
        <v>1785</v>
      </c>
      <c r="B9" s="2062" t="s">
        <v>3051</v>
      </c>
      <c r="C9" s="2063"/>
      <c r="D9" s="3046"/>
      <c r="E9" s="2062"/>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t="s">
        <v>3054</v>
      </c>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3055</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v>52688</v>
      </c>
      <c r="F13" s="2083"/>
      <c r="G13" s="2083"/>
      <c r="H13" s="2083"/>
      <c r="I13" s="1050"/>
      <c r="J13" s="2045"/>
      <c r="K13" s="2057"/>
      <c r="L13" s="2031"/>
      <c r="M13" s="2031"/>
      <c r="N13" s="2032"/>
      <c r="O13" s="2033"/>
      <c r="P13" s="2032"/>
      <c r="Q13" s="2032"/>
      <c r="R13" s="2032"/>
    </row>
    <row r="14" spans="1:19" ht="18" customHeight="1">
      <c r="A14" s="2080"/>
      <c r="B14" s="2081"/>
      <c r="C14" s="2082" t="s">
        <v>1798</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f>IF(B12="出让",IF(E13="","",ROUNDDOWN(MIN((E13-$D$3)/365,E14),2)),E14)</f>
        <v>25.55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1800</v>
      </c>
      <c r="B16" s="3052"/>
      <c r="C16" s="3053"/>
      <c r="D16" s="3054"/>
      <c r="E16" s="2089" t="s">
        <v>1801</v>
      </c>
      <c r="F16" s="3055"/>
      <c r="G16" s="3056"/>
      <c r="H16" s="3056"/>
      <c r="I16" s="3057"/>
      <c r="J16" s="2032"/>
      <c r="K16" s="2086"/>
      <c r="L16" s="2087"/>
      <c r="M16" s="2087"/>
      <c r="N16" s="2088"/>
      <c r="O16" s="2087"/>
      <c r="P16" s="2088"/>
      <c r="Q16" s="2032"/>
      <c r="R16" s="2032"/>
    </row>
    <row r="17" spans="1:22" ht="18" customHeight="1">
      <c r="A17" s="2090" t="s">
        <v>1802</v>
      </c>
      <c r="B17" s="2038" t="s">
        <v>1803</v>
      </c>
      <c r="C17" s="1057">
        <f>'数据-汇总表'!E3</f>
        <v>3096.45</v>
      </c>
      <c r="D17" s="2091" t="s">
        <v>1804</v>
      </c>
      <c r="E17" s="3058" t="s">
        <v>1805</v>
      </c>
      <c r="F17" s="3059"/>
      <c r="G17" s="3059"/>
      <c r="H17" s="3059"/>
      <c r="I17" s="3060"/>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478.53</v>
      </c>
      <c r="D18" s="2094" t="s">
        <v>1804</v>
      </c>
      <c r="E18" s="3061" t="s">
        <v>1808</v>
      </c>
      <c r="F18" s="3062"/>
      <c r="G18" s="3062"/>
      <c r="H18" s="3062"/>
      <c r="I18" s="3063"/>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48" t="s">
        <v>1813</v>
      </c>
      <c r="C20" s="3049"/>
      <c r="D20" s="3050" t="s">
        <v>1814</v>
      </c>
      <c r="E20" s="3051"/>
      <c r="F20" s="2101" t="s">
        <v>1815</v>
      </c>
      <c r="G20" s="2045"/>
      <c r="H20" s="2045"/>
      <c r="I20" s="2045"/>
      <c r="J20" s="2045"/>
      <c r="K20" s="3047"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4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4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35" t="s">
        <v>1828</v>
      </c>
      <c r="B27" s="2066" t="s">
        <v>1829</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35"/>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35"/>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36"/>
      <c r="B30" s="2038" t="s">
        <v>1832</v>
      </c>
      <c r="C30" s="3037"/>
      <c r="D30" s="3038"/>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39" t="s">
        <v>1833</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40"/>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40"/>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c r="C34" s="2137"/>
      <c r="D34" s="2137"/>
      <c r="E34" s="2137"/>
      <c r="F34" s="2137"/>
      <c r="G34" s="2137"/>
      <c r="H34" s="2137"/>
      <c r="I34" s="2045"/>
      <c r="J34" s="2045"/>
      <c r="K34" s="1798">
        <f>COUNTIF(B34:H34,"——")</f>
        <v>0</v>
      </c>
      <c r="L34" s="2078" t="s">
        <v>1835</v>
      </c>
      <c r="M34" s="2078" t="s">
        <v>1836</v>
      </c>
      <c r="N34" s="2078" t="s">
        <v>1837</v>
      </c>
      <c r="O34" s="2078" t="s">
        <v>1838</v>
      </c>
      <c r="P34" s="2078" t="s">
        <v>1839</v>
      </c>
      <c r="Q34" s="2078" t="s">
        <v>1840</v>
      </c>
      <c r="R34" s="2078" t="s">
        <v>1841</v>
      </c>
      <c r="S34" s="3034" t="s">
        <v>1842</v>
      </c>
      <c r="T34" s="2138" t="str">
        <f>NUMBERSTRING(7-K34,1)&amp;"通"</f>
        <v>七通</v>
      </c>
      <c r="U34" s="2032"/>
      <c r="V34" s="2032"/>
    </row>
    <row r="35" spans="1:22" ht="18" customHeight="1">
      <c r="A35" s="2139"/>
      <c r="B35" s="3041" t="s">
        <v>1843</v>
      </c>
      <c r="C35" s="3041"/>
      <c r="D35" s="3041"/>
      <c r="E35" s="3041"/>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4"/>
      <c r="T35" s="48" t="str">
        <f>IF(T34="一通",L35,IF(T34="二通",M35,IF(T34="三通",N35,IF(T34="四通",O35,IF(T34="五通",P35,IF(T34="六通",Q35,R35))))))</f>
        <v>、、、、、、</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t="s">
        <v>56</v>
      </c>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t="s">
        <v>241</v>
      </c>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478.53</v>
      </c>
      <c r="B3" s="14">
        <f>IF(C3="否",G5-AT5,G5)</f>
        <v>3096.45</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3096.45</v>
      </c>
      <c r="H5" s="16">
        <f t="shared" ref="H5:AT5" si="0">SUM(H13:H656)</f>
        <v>3096.45</v>
      </c>
      <c r="I5" s="16">
        <f t="shared" si="0"/>
        <v>2876.99</v>
      </c>
      <c r="J5" s="16">
        <f t="shared" si="0"/>
        <v>0</v>
      </c>
      <c r="K5" s="16">
        <f t="shared" si="0"/>
        <v>219.46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3096.45</v>
      </c>
      <c r="BA5" s="18">
        <f t="shared" si="1"/>
        <v>3096.45</v>
      </c>
      <c r="BB5" s="18">
        <f t="shared" si="1"/>
        <v>2876.99</v>
      </c>
      <c r="BC5" s="18">
        <f t="shared" si="1"/>
        <v>219.46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478.53000000000003</v>
      </c>
      <c r="F6" s="16" t="s">
        <v>1</v>
      </c>
      <c r="G6" s="16" t="s">
        <v>2</v>
      </c>
      <c r="H6" s="20">
        <f>SUMIF(I$12:AB$12,"总值",I6:AB6)</f>
        <v>478.53000000000003</v>
      </c>
      <c r="I6" s="16">
        <f t="shared" ref="I6:AB6" si="2">ROUND($A$3*I5/$B$3,2)</f>
        <v>444.61</v>
      </c>
      <c r="J6" s="16">
        <f t="shared" si="2"/>
        <v>0</v>
      </c>
      <c r="K6" s="16">
        <f t="shared" si="2"/>
        <v>33.92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478.53</v>
      </c>
      <c r="AZ6" s="16" t="s">
        <v>3</v>
      </c>
      <c r="BA6" s="16">
        <f>ROUND($AY$6*BA5/$AZ$5,2)</f>
        <v>478.53</v>
      </c>
      <c r="BB6" s="16">
        <f>ROUND($AY$6*BB5/$AZ$5,2)</f>
        <v>444.61</v>
      </c>
      <c r="BC6" s="16">
        <f t="shared" ref="BC6:BH6" si="4">ROUND($AY$6*BC5/$AZ$5,2)</f>
        <v>33.92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3059</v>
      </c>
      <c r="J9" s="984"/>
      <c r="K9" s="2195" t="s">
        <v>3060</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1376</v>
      </c>
      <c r="J10" s="984"/>
      <c r="K10" s="2201" t="s">
        <v>1376</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地下</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商业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f>I11</f>
        <v>0</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38.25">
      <c r="A13" s="1275" t="s">
        <v>3056</v>
      </c>
      <c r="B13" s="1275" t="s">
        <v>3058</v>
      </c>
      <c r="C13" s="1275"/>
      <c r="D13" s="2217" t="s">
        <v>3057</v>
      </c>
      <c r="E13" s="16">
        <f>IF($C$3="是",ROUND($A$3*G13/$B$3,2),ROUND($A$3*(G13-AT13)/$B$3,2))</f>
        <v>478.53</v>
      </c>
      <c r="F13" s="32"/>
      <c r="G13" s="33">
        <f>H13+AC13+AT13</f>
        <v>3096.45</v>
      </c>
      <c r="H13" s="20">
        <f>SUMIF(I$12:AB$12,"总值",I13:AB13)</f>
        <v>3096.45</v>
      </c>
      <c r="I13" s="2218">
        <v>2876.99</v>
      </c>
      <c r="J13" s="2218"/>
      <c r="K13" s="2218">
        <v>219.46</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t="str">
        <f t="shared" ref="AV13:AX17" si="6">A13</f>
        <v>京石国用（2008出）第0063号</v>
      </c>
      <c r="AW13" s="11" t="str">
        <f t="shared" si="6"/>
        <v>京房权证石其字第503号</v>
      </c>
      <c r="AX13" s="11">
        <f t="shared" si="6"/>
        <v>0</v>
      </c>
      <c r="AY13" s="1809">
        <f>ROUND($AY$6*AZ13/$AZ$5,2)</f>
        <v>478.53</v>
      </c>
      <c r="AZ13" s="16">
        <f>BA13+BL13</f>
        <v>3096.45</v>
      </c>
      <c r="BA13" s="16">
        <f>SUM(BB13:BK13)</f>
        <v>3096.45</v>
      </c>
      <c r="BB13" s="16">
        <f>IF($D13="是",I13-J13,0)</f>
        <v>2876.99</v>
      </c>
      <c r="BC13" s="16">
        <f>IF($D13="是",K13-L13,0)</f>
        <v>219.46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4" t="s">
        <v>0</v>
      </c>
      <c r="B1" s="3064" t="s">
        <v>4</v>
      </c>
      <c r="C1" s="3064" t="s">
        <v>5</v>
      </c>
      <c r="D1" s="3065" t="s">
        <v>53</v>
      </c>
      <c r="E1" s="3065" t="s">
        <v>54</v>
      </c>
      <c r="F1" s="3065"/>
      <c r="G1" s="3065"/>
      <c r="H1" s="3065"/>
      <c r="I1" s="3065"/>
      <c r="J1" s="3065"/>
      <c r="K1" s="3065"/>
      <c r="L1" s="3065"/>
      <c r="M1" s="3065"/>
    </row>
    <row r="2" spans="1:13" ht="27" customHeight="1">
      <c r="A2" s="3064"/>
      <c r="B2" s="3064"/>
      <c r="C2" s="3064"/>
      <c r="D2" s="3065"/>
      <c r="E2" s="3065" t="s">
        <v>37</v>
      </c>
      <c r="F2" s="3065" t="s">
        <v>38</v>
      </c>
      <c r="G2" s="3065"/>
      <c r="H2" s="3065"/>
      <c r="I2" s="3065"/>
      <c r="J2" s="3065" t="s">
        <v>39</v>
      </c>
      <c r="K2" s="3065"/>
      <c r="L2" s="3065"/>
      <c r="M2" s="3065"/>
    </row>
    <row r="3" spans="1:13" ht="28.5">
      <c r="A3" s="3064"/>
      <c r="B3" s="3064"/>
      <c r="C3" s="3064"/>
      <c r="D3" s="3065"/>
      <c r="E3" s="306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5" t="s">
        <v>55</v>
      </c>
      <c r="B9" s="3065"/>
      <c r="C9" s="306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75" t="s">
        <v>1939</v>
      </c>
      <c r="B2" s="3075"/>
      <c r="C2" s="3075"/>
      <c r="D2" s="970" t="s">
        <v>1915</v>
      </c>
      <c r="E2" s="2231" t="s">
        <v>1916</v>
      </c>
      <c r="F2" s="1395"/>
      <c r="G2" s="2232"/>
      <c r="H2" s="2233"/>
      <c r="I2" s="2234" t="s">
        <v>1940</v>
      </c>
      <c r="J2" s="1395"/>
      <c r="K2" s="1395"/>
      <c r="L2" s="1395"/>
      <c r="M2" s="1395"/>
      <c r="N2" s="1430"/>
      <c r="O2" s="1395"/>
      <c r="P2" s="1395"/>
    </row>
    <row r="3" spans="1:16" ht="15.75" thickBot="1">
      <c r="A3" s="3076" t="s">
        <v>1913</v>
      </c>
      <c r="B3" s="3076"/>
      <c r="C3" s="3076"/>
      <c r="D3" s="46">
        <f>'数据-基础表'!AY6</f>
        <v>478.53</v>
      </c>
      <c r="E3" s="46">
        <f>'数据-基础表'!AZ5</f>
        <v>3096.45</v>
      </c>
      <c r="F3" s="1395"/>
      <c r="G3" s="1402"/>
      <c r="H3" s="1250" t="s">
        <v>1914</v>
      </c>
      <c r="I3" s="55">
        <f>ROUND('数据-基础表'!B3/'数据-基础表'!A3,2)</f>
        <v>6.47</v>
      </c>
      <c r="J3" s="1395"/>
      <c r="K3" s="1395"/>
      <c r="L3" s="1395"/>
      <c r="M3" s="1395"/>
      <c r="N3" s="1430"/>
      <c r="O3" s="1395"/>
      <c r="P3" s="1395"/>
    </row>
    <row r="4" spans="1:16" ht="15">
      <c r="A4" s="3077"/>
      <c r="B4" s="3078"/>
      <c r="C4" s="3079"/>
      <c r="D4" s="2235" t="s">
        <v>1915</v>
      </c>
      <c r="E4" s="2236" t="s">
        <v>1916</v>
      </c>
      <c r="F4" s="1395"/>
      <c r="G4" s="2237" t="s">
        <v>1941</v>
      </c>
      <c r="H4" s="1250" t="s">
        <v>1921</v>
      </c>
      <c r="I4" s="55">
        <f>ROUND(SUMIF('数据-基础表'!I9:AS9,"地上",'数据-基础表'!I5:AS5)/'数据-基础表'!A3,2)</f>
        <v>6.01</v>
      </c>
      <c r="J4" s="1395"/>
      <c r="K4" s="1395"/>
      <c r="L4" s="1395"/>
      <c r="M4" s="1395"/>
      <c r="N4" s="1430"/>
      <c r="O4" s="1395"/>
      <c r="P4" s="1395"/>
    </row>
    <row r="5" spans="1:16">
      <c r="A5" s="47" t="s">
        <v>1917</v>
      </c>
      <c r="B5" s="3080" t="s">
        <v>1918</v>
      </c>
      <c r="C5" s="3080"/>
      <c r="D5" s="48">
        <f>ROUND($D$3*E5/$E$3,2)</f>
        <v>0</v>
      </c>
      <c r="E5" s="49">
        <f>SUMIF('数据-基础表'!$11:$11,"住宅",'数据-基础表'!$5:$5)</f>
        <v>0</v>
      </c>
      <c r="F5" s="1395"/>
      <c r="G5" s="1402"/>
      <c r="H5" s="1250" t="s">
        <v>1914</v>
      </c>
      <c r="I5" s="55">
        <f>ROUND(E31/D31,2)</f>
        <v>6.47</v>
      </c>
      <c r="J5" s="1395"/>
      <c r="K5" s="1395"/>
      <c r="L5" s="1395"/>
      <c r="M5" s="1395"/>
      <c r="N5" s="1395"/>
      <c r="O5" s="1395"/>
      <c r="P5" s="1395"/>
    </row>
    <row r="6" spans="1:16" ht="15" thickBot="1">
      <c r="A6" s="2238"/>
      <c r="B6" s="3080" t="s">
        <v>1919</v>
      </c>
      <c r="C6" s="3080"/>
      <c r="D6" s="48">
        <f>ROUND($D$3*E6/$E$3,2)</f>
        <v>478.53</v>
      </c>
      <c r="E6" s="49">
        <f>E3-E5</f>
        <v>3096.45</v>
      </c>
      <c r="F6" s="1395"/>
      <c r="G6" s="2239" t="s">
        <v>1920</v>
      </c>
      <c r="H6" s="1402" t="s">
        <v>1921</v>
      </c>
      <c r="I6" s="942">
        <f>ROUND(F31/D31,2)</f>
        <v>6.01</v>
      </c>
      <c r="J6" s="1395"/>
      <c r="K6" s="1395"/>
      <c r="L6" s="1395"/>
      <c r="M6" s="1395"/>
      <c r="N6" s="1395"/>
      <c r="O6" s="1395"/>
      <c r="P6" s="1395"/>
    </row>
    <row r="7" spans="1:16" ht="15">
      <c r="A7" s="3072"/>
      <c r="B7" s="3073"/>
      <c r="C7" s="3074"/>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444.61</v>
      </c>
      <c r="E8" s="51">
        <f>SUMIF('数据-基础表'!BB10:BK10,"地上",'数据-基础表'!BB5:BK5)</f>
        <v>2876.99</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33.92</v>
      </c>
      <c r="E10" s="51">
        <f>SUMPRODUCT(('数据-基础表'!BB10:BK10="地下")*('数据-基础表'!BB11:BK11="商业")*('数据-基础表'!BB5:BK5))</f>
        <v>219.46</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478.53000000000003</v>
      </c>
      <c r="E16" s="53">
        <f>SUM(E8:E15)</f>
        <v>3096.45</v>
      </c>
      <c r="F16" s="1395"/>
      <c r="G16" s="2241"/>
      <c r="H16" s="2244" t="s">
        <v>1943</v>
      </c>
      <c r="I16" s="2245"/>
      <c r="J16" s="1395"/>
      <c r="K16" s="3069" t="s">
        <v>1943</v>
      </c>
      <c r="L16" s="3070"/>
      <c r="M16" s="3070"/>
      <c r="N16" s="3070"/>
      <c r="O16" s="3070"/>
      <c r="P16" s="3071"/>
    </row>
    <row r="17" spans="1:19" ht="15">
      <c r="A17" s="2246" t="s">
        <v>1944</v>
      </c>
      <c r="B17" s="2247" t="s">
        <v>1945</v>
      </c>
      <c r="C17" s="2248" t="s">
        <v>1946</v>
      </c>
      <c r="D17" s="2249" t="s">
        <v>1934</v>
      </c>
      <c r="E17" s="2250" t="s">
        <v>1935</v>
      </c>
      <c r="F17" s="2251"/>
      <c r="G17" s="2252"/>
      <c r="H17" s="2253" t="s">
        <v>1947</v>
      </c>
      <c r="I17" s="2254" t="s">
        <v>1932</v>
      </c>
      <c r="J17" s="1395"/>
      <c r="K17" s="3066" t="s">
        <v>1948</v>
      </c>
      <c r="L17" s="3067"/>
      <c r="M17" s="3068"/>
      <c r="N17" s="3066" t="s">
        <v>1949</v>
      </c>
      <c r="O17" s="3067"/>
      <c r="P17" s="3068"/>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48" t="s">
        <v>3100</v>
      </c>
      <c r="D19" s="48">
        <f>ROUND($D$3*E19/$E$3,2)</f>
        <v>478.53</v>
      </c>
      <c r="E19" s="56">
        <f t="shared" ref="E19:E26" si="1">SUM(F19:G19)</f>
        <v>3096.45</v>
      </c>
      <c r="F19" s="57">
        <v>2876.99</v>
      </c>
      <c r="G19" s="58">
        <v>219.46</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478.53</v>
      </c>
      <c r="S19" s="1251">
        <f t="shared" si="5"/>
        <v>3096.45</v>
      </c>
    </row>
    <row r="20" spans="1:19">
      <c r="A20" s="2266"/>
      <c r="B20" s="50" t="s">
        <v>1961</v>
      </c>
      <c r="C20" s="2948"/>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1961</v>
      </c>
      <c r="C21" s="2948"/>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1961</v>
      </c>
      <c r="C22" s="2949"/>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478.53</v>
      </c>
      <c r="E27" s="1397">
        <f>IF(SUM(E19:E26)='数据-基础表'!BA5,SUM(E19:E26),IF(F27="地上面积有误","面积有误","地下面积有误"))</f>
        <v>3096.45</v>
      </c>
      <c r="F27" s="1396">
        <f>IF(SUM(F19:F26)=E8,SUM(F19:F26),"地上面积有误")</f>
        <v>2876.99</v>
      </c>
      <c r="G27" s="1398">
        <f>SUM(G19:G26)</f>
        <v>219.46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478.53</v>
      </c>
      <c r="S27" s="1250">
        <f>IF(SUM(S19:S26)=$E$3,SUM(S19:S26),SUM(S19:S26)&amp;"误差"&amp;ROUND(SUM(S19:S26)-E3,2))</f>
        <v>3096.45</v>
      </c>
    </row>
    <row r="28" spans="1:19">
      <c r="A28" s="2266"/>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1966</v>
      </c>
      <c r="D31" s="729">
        <f>D27+D30</f>
        <v>478.53</v>
      </c>
      <c r="E31" s="729">
        <f>E27+E30</f>
        <v>3096.45</v>
      </c>
      <c r="F31" s="730">
        <f>F27+F30</f>
        <v>2876.99</v>
      </c>
      <c r="G31" s="731">
        <f>G27+G30</f>
        <v>219.46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D6" sqref="AD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43359</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3061</v>
      </c>
      <c r="O5" s="2299" t="s">
        <v>1989</v>
      </c>
      <c r="P5" s="2302" t="s">
        <v>1990</v>
      </c>
      <c r="Q5" s="69" t="s">
        <v>1991</v>
      </c>
      <c r="R5" s="2303" t="s">
        <v>1992</v>
      </c>
      <c r="S5" s="2304" t="s">
        <v>1993</v>
      </c>
      <c r="T5" s="2305" t="s">
        <v>1994</v>
      </c>
      <c r="U5" s="1270" t="s">
        <v>1995</v>
      </c>
      <c r="V5" s="1271" t="s">
        <v>1996</v>
      </c>
      <c r="W5" s="1271" t="s">
        <v>1997</v>
      </c>
      <c r="X5" s="71"/>
      <c r="Y5" s="70" t="s">
        <v>1998</v>
      </c>
      <c r="Z5" s="2306" t="s">
        <v>1995</v>
      </c>
      <c r="AA5" s="1271" t="s">
        <v>1996</v>
      </c>
      <c r="AB5" s="1271" t="s">
        <v>1997</v>
      </c>
      <c r="AC5" s="71"/>
      <c r="AD5" s="71" t="s">
        <v>1998</v>
      </c>
      <c r="AE5" s="1270" t="s">
        <v>1999</v>
      </c>
      <c r="AF5" s="1271" t="s">
        <v>2000</v>
      </c>
      <c r="AG5" s="70" t="s">
        <v>2001</v>
      </c>
      <c r="AH5" s="1270" t="s">
        <v>2002</v>
      </c>
      <c r="AI5" s="2306" t="s">
        <v>2003</v>
      </c>
      <c r="AJ5" s="2306" t="s">
        <v>2004</v>
      </c>
      <c r="AK5" s="1271" t="s">
        <v>2005</v>
      </c>
      <c r="AL5" s="1271" t="s">
        <v>2006</v>
      </c>
      <c r="AM5" s="70" t="s">
        <v>2007</v>
      </c>
      <c r="AN5" s="2307" t="s">
        <v>2008</v>
      </c>
      <c r="AO5" s="2078" t="s">
        <v>2009</v>
      </c>
      <c r="AP5" s="1252" t="s">
        <v>2010</v>
      </c>
      <c r="AQ5" s="2308" t="s">
        <v>2011</v>
      </c>
      <c r="AR5" s="2308"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整栋</v>
      </c>
      <c r="B6" s="2310" t="str">
        <f>IF(A6=0,"","经营性")</f>
        <v>经营性</v>
      </c>
      <c r="C6" s="2311" t="s">
        <v>1376</v>
      </c>
      <c r="D6" s="1054">
        <f>SUMIF(项目基本情况!D$12:I$12,C6,项目基本情况!D$14:I$14)</f>
        <v>40</v>
      </c>
      <c r="E6" s="1051">
        <f>IF(B6="","",SUMIF(项目基本情况!D$12:I$12,C6,项目基本情况!D$13:I$13))</f>
        <v>52688</v>
      </c>
      <c r="F6" s="72">
        <f>SUMIF(项目基本情况!D$12:I$12,C6,项目基本情况!D$15:I$15)</f>
        <v>25.55</v>
      </c>
      <c r="G6" s="73">
        <f>IF(ISERROR(ROUND(POWER(1+H6,D6-F6)*(POWER(1+H6,F6)-1)/(POWER(1+H6,D6)-1),3)),0,ROUND(POWER(1+H6,D6-F6)*(POWER(1+H6,F6)-1)/(POWER(1+H6,D6)-1),3))</f>
        <v>0.76400000000000001</v>
      </c>
      <c r="H6" s="802">
        <v>0.03</v>
      </c>
      <c r="I6" s="802">
        <v>0.05</v>
      </c>
      <c r="J6" s="74">
        <v>0.05</v>
      </c>
      <c r="K6" s="1254">
        <f>SUMIF('数据-汇总表'!C$19:C$33,A6,'数据-汇总表'!E$19:E$33)</f>
        <v>3096.45</v>
      </c>
      <c r="L6" s="803">
        <f>2220+500</f>
        <v>2720</v>
      </c>
      <c r="M6" s="75">
        <f t="shared" ref="M6:M14" si="0">ROUND(K6*L6/10000,0)</f>
        <v>842</v>
      </c>
      <c r="N6" s="801">
        <v>0.75</v>
      </c>
      <c r="O6" s="75" t="str">
        <f>IF($N$5="成新度","——",ROUND(M6*N6,0))</f>
        <v>——</v>
      </c>
      <c r="P6" s="76" t="str">
        <f>IF($N$5="成新度","——",M6-O6)</f>
        <v>——</v>
      </c>
      <c r="Q6" s="804">
        <v>0.3</v>
      </c>
      <c r="R6" s="77">
        <f ca="1">SUMIF('数据-汇总表'!C$19:C$33,A6,'数据-汇总表'!R$19:R$27)</f>
        <v>478.53</v>
      </c>
      <c r="S6" s="54">
        <f>IF('数据-汇总表'!$I$17="按面积比例",SUMIF('数据-汇总表'!C$19:C$33,A6,'数据-汇总表'!K$19:K$33),SUMIF('数据-汇总表'!C$19:C$33,A6,'数据-汇总表'!N$19:N$33))</f>
        <v>0</v>
      </c>
      <c r="T6" s="1446">
        <f>ROUND($L$14*S6/10000,0)</f>
        <v>0</v>
      </c>
      <c r="U6" s="78">
        <f>ROUND(租约整理!H4,1)</f>
        <v>0.7</v>
      </c>
      <c r="V6" s="79">
        <v>0.01</v>
      </c>
      <c r="W6" s="79">
        <v>0</v>
      </c>
      <c r="X6" s="1264"/>
      <c r="Y6" s="80">
        <v>0.75</v>
      </c>
      <c r="Z6" s="81">
        <f>ROUND((4+4*0.8+4*0.6)/3*(1.03)^1.75,1)</f>
        <v>3.4</v>
      </c>
      <c r="AA6" s="74">
        <v>0.03</v>
      </c>
      <c r="AB6" s="74">
        <v>0.15</v>
      </c>
      <c r="AC6" s="1264"/>
      <c r="AD6" s="82">
        <v>0.75</v>
      </c>
      <c r="AE6" s="1265">
        <f ca="1">IF(AN6="",0,SUMIF(INDIRECT("'"&amp;AN6&amp;"'"&amp;"!E:E"),$AE$5,INDIRECT("'"&amp;AN6&amp;"'"&amp;"!F:F")))</f>
        <v>25.55</v>
      </c>
      <c r="AF6" s="1807">
        <v>1.75</v>
      </c>
      <c r="AG6" s="147">
        <f ca="1">IF(AF6="",0,AE6-AF6)</f>
        <v>23.8</v>
      </c>
      <c r="AH6" s="83"/>
      <c r="AI6" s="85">
        <v>365</v>
      </c>
      <c r="AJ6" s="86"/>
      <c r="AK6" s="87">
        <v>1.4999999999999999E-2</v>
      </c>
      <c r="AL6" s="88">
        <v>1.5E-3</v>
      </c>
      <c r="AM6" s="89">
        <v>1.2E-2</v>
      </c>
      <c r="AN6" s="2312" t="s">
        <v>3076</v>
      </c>
      <c r="AO6" s="55">
        <f ca="1">SUMIF(INDIRECT("'"&amp;AN6&amp;"'"&amp;"!A:A"),"总价",INDIRECT("'"&amp;AN6&amp;"'"&amp;"!B:B"))</f>
        <v>4651</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f>'数据-汇总表'!C20</f>
        <v>0</v>
      </c>
      <c r="B7" s="2310" t="str">
        <f t="shared" ref="B7:B13" si="1">IF(A7=0,"","经营性")</f>
        <v/>
      </c>
      <c r="C7" s="2311" t="s">
        <v>1376</v>
      </c>
      <c r="D7" s="1054">
        <f>SUMIF(项目基本情况!D$12:I$12,C7,项目基本情况!D$14:I$14)</f>
        <v>40</v>
      </c>
      <c r="E7" s="1051" t="str">
        <f>IF(B7="","",SUMIF(项目基本情况!D$12:I$12,C7,项目基本情况!D$13:I$13))</f>
        <v/>
      </c>
      <c r="F7" s="72">
        <f>SUMIF(项目基本情况!D$12:I$12,C7,项目基本情况!D$15:I$15)</f>
        <v>25.55</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f>'数据-汇总表'!C21</f>
        <v>0</v>
      </c>
      <c r="B8" s="2310" t="str">
        <f t="shared" si="1"/>
        <v/>
      </c>
      <c r="C8" s="2311" t="s">
        <v>1376</v>
      </c>
      <c r="D8" s="1054">
        <f>SUMIF(项目基本情况!D$12:I$12,C8,项目基本情况!D$14:I$14)</f>
        <v>40</v>
      </c>
      <c r="E8" s="1051" t="str">
        <f>IF(B8="","",SUMIF(项目基本情况!D$12:I$12,C8,项目基本情况!D$13:I$13))</f>
        <v/>
      </c>
      <c r="F8" s="72">
        <f>SUMIF(项目基本情况!D$12:I$12,C8,项目基本情况!D$15:I$15)</f>
        <v>25.55</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t="s">
        <v>1376</v>
      </c>
      <c r="D9" s="1054">
        <f>SUMIF(项目基本情况!D$12:I$12,C9,项目基本情况!D$14:I$14)</f>
        <v>40</v>
      </c>
      <c r="E9" s="1051" t="str">
        <f>IF(B9="","",SUMIF(项目基本情况!D$12:I$12,C9,项目基本情况!D$13:I$13))</f>
        <v/>
      </c>
      <c r="F9" s="72">
        <f>SUMIF(项目基本情况!D$12:I$12,C9,项目基本情况!D$15:I$15)</f>
        <v>25.55</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t="e">
        <f t="shared" ca="1" si="6"/>
        <v>#N/A</v>
      </c>
      <c r="AF9" s="1807"/>
      <c r="AG9" s="147">
        <f t="shared" si="7"/>
        <v>0</v>
      </c>
      <c r="AH9" s="83"/>
      <c r="AI9" s="85">
        <v>365</v>
      </c>
      <c r="AJ9" s="86"/>
      <c r="AK9" s="87"/>
      <c r="AL9" s="88"/>
      <c r="AM9" s="89"/>
      <c r="AN9" s="2312" t="s">
        <v>3078</v>
      </c>
      <c r="AO9" s="55" t="e">
        <f t="shared" ca="1" si="8"/>
        <v>#N/A</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2013</v>
      </c>
      <c r="B14" s="2310" t="s">
        <v>2014</v>
      </c>
      <c r="C14" s="2315"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2015</v>
      </c>
      <c r="B15" s="2310" t="s">
        <v>2014</v>
      </c>
      <c r="C15" s="2315"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2017</v>
      </c>
      <c r="B16" s="97"/>
      <c r="C16" s="1008"/>
      <c r="D16" s="2317"/>
      <c r="E16" s="97"/>
      <c r="F16" s="97"/>
      <c r="G16" s="98">
        <f>ROUND(SUMPRODUCT(G6:G13,K6:K13)/SUMPRODUCT((G6:G13&gt;0)*(K6:K13)),3)</f>
        <v>0.76400000000000001</v>
      </c>
      <c r="H16" s="99">
        <f>ROUND(SUMPRODUCT(H6:H13,K6:K13)/SUMPRODUCT((H6:H13&gt;0)*(K6:K13)),3)</f>
        <v>0.03</v>
      </c>
      <c r="I16" s="100"/>
      <c r="J16" s="100"/>
      <c r="K16" s="101">
        <f>SUM(K6:K15)</f>
        <v>3096.45</v>
      </c>
      <c r="L16" s="102">
        <f>ROUND(M16*10000/SUM(K6:K14),0)</f>
        <v>2719</v>
      </c>
      <c r="M16" s="102">
        <f>SUM(M6:M14)</f>
        <v>842</v>
      </c>
      <c r="N16" s="103">
        <f>ROUND(SUMPRODUCT(M6:M14,N6:N14)/M16,3)</f>
        <v>0.75</v>
      </c>
      <c r="O16" s="102">
        <f>SUM(O6:O14)</f>
        <v>0</v>
      </c>
      <c r="P16" s="102">
        <f>SUM(P6:P14)</f>
        <v>0</v>
      </c>
      <c r="Q16" s="104">
        <f>ROUND(SUMPRODUCT(Q6:Q13,K6:K13)/SUMPRODUCT((Q6:Q13&gt;0)*(K6:K13)),2)</f>
        <v>0.3</v>
      </c>
      <c r="R16" s="1258">
        <f ca="1">SUM(R6:R13)</f>
        <v>478.53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2019</v>
      </c>
      <c r="B19" s="112">
        <v>0</v>
      </c>
      <c r="C19" s="2280" t="s">
        <v>2020</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2021</v>
      </c>
      <c r="B20" s="113">
        <v>1</v>
      </c>
      <c r="C20" s="2280" t="s">
        <v>2022</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2023</v>
      </c>
      <c r="B21" s="113">
        <v>1</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2024</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2025</v>
      </c>
      <c r="B23" s="114">
        <f>B19+B21</f>
        <v>1</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2026</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2027</v>
      </c>
      <c r="B26" s="2323" t="s">
        <v>2028</v>
      </c>
      <c r="C26" s="2324" t="s">
        <v>2029</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2030</v>
      </c>
      <c r="B27" s="116"/>
      <c r="C27" s="1767" t="s">
        <v>2031</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2032</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2033</v>
      </c>
      <c r="B29" s="121"/>
      <c r="C29" s="1767" t="s">
        <v>2034</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2035</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2036</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2037</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2038</v>
      </c>
      <c r="B33" s="726">
        <v>0.04</v>
      </c>
      <c r="C33" s="1766" t="s">
        <v>2039</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2040</v>
      </c>
      <c r="B34" s="122">
        <v>0</v>
      </c>
      <c r="C34" s="1766" t="s">
        <v>2041</v>
      </c>
      <c r="D34" s="2281" t="s">
        <v>2042</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2043</v>
      </c>
      <c r="B35" s="119">
        <v>200</v>
      </c>
      <c r="C35" s="1766" t="s">
        <v>2044</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2045</v>
      </c>
      <c r="B36" s="123">
        <v>1.4999999999999999E-2</v>
      </c>
      <c r="C36" s="1766" t="s">
        <v>2046</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2047</v>
      </c>
      <c r="B37" s="124">
        <v>0.02</v>
      </c>
      <c r="C37" s="1766" t="s">
        <v>2048</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2049</v>
      </c>
      <c r="B38" s="122">
        <v>0.02</v>
      </c>
      <c r="C38" s="1766" t="s">
        <v>2048</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2050</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2051</v>
      </c>
      <c r="B40" s="1303">
        <f ca="1">存贷款利率!G1</f>
        <v>4.3499999999999997E-2</v>
      </c>
      <c r="C40" s="1766" t="s">
        <v>2052</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2053</v>
      </c>
      <c r="B41" s="125">
        <f>B42+B43</f>
        <v>5.6000000000000001E-2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2054</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2055</v>
      </c>
      <c r="B43" s="127">
        <f>B42*(B44+B45+B46)+B47</f>
        <v>6.000000000000001E-3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2056</v>
      </c>
      <c r="B44" s="128">
        <v>7.0000000000000007E-2</v>
      </c>
      <c r="C44" s="1766" t="s">
        <v>2057</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2058</v>
      </c>
      <c r="B45" s="126">
        <v>0.03</v>
      </c>
      <c r="C45" s="1767" t="s">
        <v>2059</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2060</v>
      </c>
      <c r="B46" s="126">
        <v>0.02</v>
      </c>
      <c r="C46" s="1767" t="s">
        <v>2061</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2062</v>
      </c>
      <c r="B47" s="129"/>
      <c r="C47" s="1767" t="s">
        <v>2063</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2064</v>
      </c>
      <c r="B48" s="130">
        <v>0.03</v>
      </c>
      <c r="C48" s="1774" t="s">
        <v>2065</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2066</v>
      </c>
      <c r="B49" s="126">
        <v>5.0000000000000001E-4</v>
      </c>
      <c r="C49" s="1774" t="s">
        <v>2067</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2068</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2069</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2070</v>
      </c>
      <c r="B52" s="133">
        <f>SUMIF(A54:A63,B53,B54:B63)</f>
        <v>3</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2071</v>
      </c>
      <c r="B53" s="2339" t="s">
        <v>523</v>
      </c>
      <c r="C53" s="1430" t="s">
        <v>2072</v>
      </c>
      <c r="D53" s="2340" t="s">
        <v>2073</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2074</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2075</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2076</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2077</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2078</v>
      </c>
      <c r="B58" s="84">
        <v>3</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2079</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2080</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2081</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2082</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2083</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36" sqref="F36"/>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81" t="s">
        <v>2084</v>
      </c>
      <c r="B1" s="3082"/>
      <c r="C1" s="3082"/>
      <c r="D1" s="3082"/>
      <c r="E1" s="3082"/>
      <c r="F1" s="3082"/>
      <c r="G1" s="3082"/>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2085</v>
      </c>
      <c r="D2" s="2369"/>
      <c r="E2" s="2370"/>
      <c r="F2" s="2289"/>
      <c r="G2" s="2368" t="s">
        <v>2086</v>
      </c>
      <c r="H2" s="2371"/>
      <c r="I2" s="2371"/>
      <c r="J2" s="2371"/>
      <c r="K2" s="2371"/>
      <c r="L2" s="2371"/>
      <c r="M2" s="2371"/>
      <c r="N2" s="2371"/>
      <c r="O2" s="2371"/>
      <c r="P2" s="2371"/>
      <c r="Q2" s="2371"/>
      <c r="R2" s="2371"/>
    </row>
    <row r="3" spans="1:29" ht="54">
      <c r="A3" s="415" t="s">
        <v>2087</v>
      </c>
      <c r="B3" s="1271" t="s">
        <v>2088</v>
      </c>
      <c r="C3" s="2373" t="s">
        <v>2089</v>
      </c>
      <c r="D3" s="2374"/>
      <c r="E3" s="431" t="s">
        <v>2087</v>
      </c>
      <c r="F3" s="2375" t="s">
        <v>2090</v>
      </c>
      <c r="G3" s="2376" t="s">
        <v>2091</v>
      </c>
      <c r="H3" s="2371"/>
      <c r="I3" s="2371"/>
      <c r="J3" s="2371"/>
      <c r="K3" s="2371"/>
      <c r="L3" s="2371"/>
      <c r="M3" s="2371"/>
      <c r="N3" s="2371"/>
      <c r="O3" s="2371"/>
      <c r="P3" s="2371"/>
      <c r="Q3" s="2371"/>
      <c r="R3" s="2371"/>
    </row>
    <row r="4" spans="1:29" ht="41.25">
      <c r="A4" s="431"/>
      <c r="B4" s="1798" t="s">
        <v>2092</v>
      </c>
      <c r="C4" s="2377" t="s">
        <v>2093</v>
      </c>
      <c r="D4" s="2374"/>
      <c r="E4" s="2378"/>
      <c r="F4" s="42" t="s">
        <v>2094</v>
      </c>
      <c r="G4" s="2379" t="s">
        <v>2095</v>
      </c>
      <c r="H4" s="2371"/>
      <c r="I4" s="2371"/>
      <c r="J4" s="2371"/>
      <c r="K4" s="2371"/>
      <c r="L4" s="2371"/>
      <c r="M4" s="2371"/>
      <c r="N4" s="2371"/>
      <c r="O4" s="2371"/>
      <c r="P4" s="2371"/>
      <c r="Q4" s="2371"/>
      <c r="R4" s="2371"/>
    </row>
    <row r="5" spans="1:29" ht="41.25">
      <c r="A5" s="431"/>
      <c r="B5" s="1798" t="s">
        <v>2096</v>
      </c>
      <c r="C5" s="2377" t="s">
        <v>2097</v>
      </c>
      <c r="D5" s="2374"/>
      <c r="E5" s="2378"/>
      <c r="F5" s="1798" t="s">
        <v>2098</v>
      </c>
      <c r="G5" s="2379" t="s">
        <v>2099</v>
      </c>
      <c r="H5" s="2371"/>
      <c r="I5" s="2371"/>
      <c r="J5" s="2371"/>
      <c r="K5" s="2371"/>
      <c r="L5" s="2371"/>
      <c r="M5" s="2371"/>
      <c r="N5" s="2371"/>
      <c r="O5" s="2371"/>
      <c r="P5" s="2371"/>
      <c r="Q5" s="2371"/>
      <c r="R5" s="2371"/>
    </row>
    <row r="6" spans="1:29" ht="54">
      <c r="A6" s="431"/>
      <c r="B6" s="1798" t="s">
        <v>2100</v>
      </c>
      <c r="C6" s="2379" t="s">
        <v>2095</v>
      </c>
      <c r="D6" s="2374"/>
      <c r="E6" s="2378"/>
      <c r="F6" s="1798" t="s">
        <v>2101</v>
      </c>
      <c r="G6" s="2379" t="s">
        <v>2102</v>
      </c>
      <c r="H6" s="2371"/>
      <c r="I6" s="2371"/>
      <c r="J6" s="2371"/>
      <c r="K6" s="2371"/>
      <c r="L6" s="2371"/>
      <c r="M6" s="2371"/>
      <c r="N6" s="2371"/>
      <c r="O6" s="2371"/>
      <c r="P6" s="2371"/>
      <c r="Q6" s="2371"/>
      <c r="R6" s="2371"/>
    </row>
    <row r="7" spans="1:29" ht="41.25" thickBot="1">
      <c r="A7" s="431"/>
      <c r="B7" s="1798" t="s">
        <v>2098</v>
      </c>
      <c r="C7" s="2379" t="s">
        <v>2099</v>
      </c>
      <c r="D7" s="2380"/>
      <c r="E7" s="2381"/>
      <c r="F7" s="2382" t="s">
        <v>2103</v>
      </c>
      <c r="G7" s="2383" t="s">
        <v>2104</v>
      </c>
      <c r="H7" s="2371"/>
      <c r="I7" s="2371"/>
      <c r="J7" s="2371"/>
      <c r="K7" s="2371"/>
      <c r="L7" s="2371"/>
      <c r="M7" s="2371"/>
      <c r="N7" s="2371"/>
      <c r="O7" s="2371"/>
      <c r="P7" s="2371"/>
      <c r="Q7" s="2371"/>
      <c r="R7" s="2371"/>
    </row>
    <row r="8" spans="1:29" ht="27">
      <c r="A8" s="431"/>
      <c r="B8" s="1798" t="s">
        <v>2101</v>
      </c>
      <c r="C8" s="2379" t="s">
        <v>2102</v>
      </c>
      <c r="D8" s="2380"/>
      <c r="E8" s="2380"/>
      <c r="F8" s="1136"/>
      <c r="G8" s="1136"/>
      <c r="H8" s="2371"/>
      <c r="I8" s="2371"/>
      <c r="J8" s="2371"/>
      <c r="K8" s="2371"/>
      <c r="L8" s="2371"/>
      <c r="M8" s="2371"/>
      <c r="N8" s="2371"/>
      <c r="O8" s="2371"/>
      <c r="P8" s="2371"/>
      <c r="Q8" s="2371"/>
      <c r="R8" s="2371"/>
    </row>
    <row r="9" spans="1:29" ht="27">
      <c r="A9" s="431"/>
      <c r="B9" s="1798" t="s">
        <v>2105</v>
      </c>
      <c r="C9" s="2377" t="s">
        <v>2106</v>
      </c>
      <c r="D9" s="2374"/>
      <c r="E9" s="2380"/>
      <c r="F9" s="1136"/>
      <c r="G9" s="1136"/>
      <c r="H9" s="2371"/>
      <c r="I9" s="2371"/>
      <c r="J9" s="2371"/>
      <c r="K9" s="2371"/>
      <c r="L9" s="2371"/>
      <c r="M9" s="2371"/>
      <c r="N9" s="2371"/>
      <c r="O9" s="2371"/>
      <c r="P9" s="2371"/>
      <c r="Q9" s="2371"/>
      <c r="R9" s="2371"/>
    </row>
    <row r="10" spans="1:29" s="117" customFormat="1" ht="15.75" thickBot="1">
      <c r="A10" s="2384"/>
      <c r="B10" s="2385" t="s">
        <v>2107</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2108</v>
      </c>
      <c r="B13" s="2391"/>
      <c r="C13" s="2391"/>
      <c r="D13" s="2398"/>
      <c r="E13" s="2391"/>
      <c r="F13" s="2391"/>
      <c r="G13" s="2391"/>
    </row>
    <row r="14" spans="1:29" ht="15.75" thickBot="1">
      <c r="A14" s="2402"/>
      <c r="B14" s="2403"/>
      <c r="C14" s="2404" t="s">
        <v>2109</v>
      </c>
      <c r="D14" s="2374"/>
      <c r="E14" s="2405"/>
      <c r="F14" s="2405"/>
      <c r="G14" s="2368" t="s">
        <v>2110</v>
      </c>
    </row>
    <row r="15" spans="1:29" ht="57">
      <c r="A15" s="68" t="s">
        <v>2111</v>
      </c>
      <c r="B15" s="1270" t="s">
        <v>2088</v>
      </c>
      <c r="C15" s="2406" t="str">
        <f>C3</f>
        <v>估价对象周边居住用地比例、居住小区规模和社区发展完善程度，综合评价居住社区成熟度一般</v>
      </c>
      <c r="D15" s="2374"/>
      <c r="E15" s="2407" t="s">
        <v>2112</v>
      </c>
      <c r="F15" s="1270" t="s">
        <v>2113</v>
      </c>
      <c r="G15" s="135" t="str">
        <f>G3</f>
        <v>估价对象位于XX开发区，园区建设成熟度XX，产业集聚程度XX</v>
      </c>
    </row>
    <row r="16" spans="1:29" ht="42.75">
      <c r="A16" s="645"/>
      <c r="B16" s="2408" t="s">
        <v>2092</v>
      </c>
      <c r="C16" s="2409" t="str">
        <f>C4</f>
        <v>估价对象位于XX商圈，周边商业氛围成熟，人流量大，商业繁华度好</v>
      </c>
      <c r="D16" s="2374"/>
      <c r="E16" s="2410"/>
      <c r="F16" s="2411" t="s">
        <v>2094</v>
      </c>
      <c r="G16" s="136" t="str">
        <f>G4</f>
        <v>估价对象周边道路状况、公共交通通达情况、停车便捷程度，综合评价交通便捷度较好</v>
      </c>
    </row>
    <row r="17" spans="1:18" ht="42.75">
      <c r="A17" s="645"/>
      <c r="B17" s="2408" t="s">
        <v>2096</v>
      </c>
      <c r="C17" s="2409" t="str">
        <f>C5</f>
        <v>估价对象位于XX商圈，周边办公楼项目较多，入驻率高，办公集聚程度较好</v>
      </c>
      <c r="D17" s="2380"/>
      <c r="E17" s="2410"/>
      <c r="F17" s="2411" t="s">
        <v>2114</v>
      </c>
      <c r="G17" s="1572"/>
    </row>
    <row r="18" spans="1:18" ht="57">
      <c r="A18" s="645"/>
      <c r="B18" s="2411" t="s">
        <v>2100</v>
      </c>
      <c r="C18" s="136" t="str">
        <f>C6</f>
        <v>估价对象周边道路状况、公共交通通达情况、停车便捷程度，综合评价交通便捷度较好</v>
      </c>
      <c r="D18" s="2380"/>
      <c r="E18" s="2410"/>
      <c r="F18" s="2411" t="s">
        <v>2103</v>
      </c>
      <c r="G18" s="136" t="str">
        <f>G7</f>
        <v>该园区内是否有污染型企业，绿化情况，卫生条件，整体环境状况判断</v>
      </c>
    </row>
    <row r="19" spans="1:18" ht="28.5">
      <c r="A19" s="645"/>
      <c r="B19" s="2411" t="s">
        <v>2115</v>
      </c>
      <c r="C19" s="1572"/>
      <c r="D19" s="2374"/>
      <c r="E19" s="2410"/>
      <c r="F19" s="1798" t="s">
        <v>2098</v>
      </c>
      <c r="G19" s="136" t="str">
        <f>G5</f>
        <v>估价对象所在区域公共配套设施齐备情况</v>
      </c>
    </row>
    <row r="20" spans="1:18" ht="28.5">
      <c r="A20" s="645"/>
      <c r="B20" s="2411" t="s">
        <v>2116</v>
      </c>
      <c r="C20" s="2409" t="str">
        <f>C9</f>
        <v>区域自然环境：；人文环境；综合评价环境状况一般</v>
      </c>
      <c r="D20" s="2380"/>
      <c r="E20" s="2410"/>
      <c r="F20" s="1798" t="s">
        <v>2117</v>
      </c>
      <c r="G20" s="136" t="str">
        <f>G6</f>
        <v>估价对象所在区域基础设施水平</v>
      </c>
    </row>
    <row r="21" spans="1:18" ht="28.5">
      <c r="A21" s="645"/>
      <c r="B21" s="1798" t="s">
        <v>2098</v>
      </c>
      <c r="C21" s="136" t="str">
        <f>C7</f>
        <v>估价对象所在区域公共配套设施齐备情况</v>
      </c>
      <c r="D21" s="2374"/>
      <c r="E21" s="2410"/>
      <c r="F21" s="2411" t="s">
        <v>2118</v>
      </c>
      <c r="G21" s="2412"/>
    </row>
    <row r="22" spans="1:18" ht="13.5" customHeight="1">
      <c r="A22" s="645"/>
      <c r="B22" s="1798" t="s">
        <v>2101</v>
      </c>
      <c r="C22" s="136" t="str">
        <f>C8</f>
        <v>估价对象所在区域基础设施水平</v>
      </c>
      <c r="D22" s="2374"/>
      <c r="E22" s="2410"/>
      <c r="F22" s="2411" t="s">
        <v>2107</v>
      </c>
      <c r="G22" s="1572"/>
    </row>
    <row r="23" spans="1:18" s="2371" customFormat="1" ht="15.75" thickBot="1">
      <c r="A23" s="645"/>
      <c r="B23" s="2411" t="s">
        <v>2118</v>
      </c>
      <c r="C23" s="2412"/>
      <c r="D23" s="2399"/>
      <c r="E23" s="2413"/>
      <c r="F23" s="2414" t="s">
        <v>2119</v>
      </c>
      <c r="G23" s="2415"/>
      <c r="H23" s="2399"/>
      <c r="I23" s="2400"/>
      <c r="J23" s="2399"/>
      <c r="K23" s="2399"/>
      <c r="L23" s="2400"/>
      <c r="M23" s="2399"/>
      <c r="N23" s="2399"/>
      <c r="O23" s="2400"/>
      <c r="P23" s="2399"/>
      <c r="Q23" s="2399"/>
      <c r="R23" s="2401"/>
    </row>
    <row r="24" spans="1:18" s="2371" customFormat="1" ht="15.75" thickBot="1">
      <c r="A24" s="2416"/>
      <c r="B24" s="2414" t="s">
        <v>2120</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workbookViewId="0">
      <selection activeCell="E8" sqref="E8"/>
    </sheetView>
  </sheetViews>
  <sheetFormatPr defaultRowHeight="13.5"/>
  <cols>
    <col min="1" max="1" width="23.375" style="1741" customWidth="1"/>
    <col min="2" max="9" width="15.75" style="1741" customWidth="1"/>
    <col min="10" max="16384" width="9" style="1741"/>
  </cols>
  <sheetData>
    <row r="1" spans="1:10" ht="16.5">
      <c r="A1" s="1746" t="s">
        <v>1364</v>
      </c>
      <c r="B1" s="1746">
        <f>SUM(B14:B23)</f>
        <v>3096.45</v>
      </c>
      <c r="C1" s="1745"/>
      <c r="D1" s="1745"/>
      <c r="E1" s="1745"/>
      <c r="F1" s="1745"/>
      <c r="G1" s="1743"/>
    </row>
    <row r="2" spans="1:10" ht="16.5">
      <c r="A2" s="1746" t="s">
        <v>1352</v>
      </c>
      <c r="B2" s="1746">
        <f>SUM(C14:C23)</f>
        <v>478.53</v>
      </c>
      <c r="C2" s="1745"/>
      <c r="D2" s="1745"/>
      <c r="E2" s="1745"/>
      <c r="F2" s="1745"/>
      <c r="G2" s="1743"/>
    </row>
    <row r="3" spans="1:10" ht="16.5">
      <c r="A3" s="1746" t="s">
        <v>1361</v>
      </c>
      <c r="B3" s="1747">
        <f>项目基本情况!D3</f>
        <v>43359</v>
      </c>
      <c r="C3" s="1745"/>
      <c r="D3" s="1745"/>
      <c r="E3" s="1745"/>
      <c r="F3" s="1745"/>
      <c r="G3" s="1743"/>
    </row>
    <row r="4" spans="1:10" ht="33">
      <c r="A4" s="1746" t="s">
        <v>1360</v>
      </c>
      <c r="B4" s="1746" t="s">
        <v>1359</v>
      </c>
      <c r="C4" s="1746" t="s">
        <v>1358</v>
      </c>
      <c r="D4" s="1746" t="s">
        <v>1357</v>
      </c>
      <c r="E4" s="1745"/>
      <c r="F4" s="1743"/>
      <c r="G4" s="1743"/>
    </row>
    <row r="5" spans="1:10" ht="16.5">
      <c r="A5" s="1746" t="s">
        <v>1356</v>
      </c>
      <c r="B5" s="1746">
        <f ca="1">SUM(D14:D23)</f>
        <v>7294</v>
      </c>
      <c r="C5" s="1746">
        <f ca="1">ROUND(B5*10000/$B$1,0)</f>
        <v>23556</v>
      </c>
      <c r="D5" s="1746">
        <f ca="1">ROUND(B5*10000/$B$2,0)</f>
        <v>152425</v>
      </c>
      <c r="E5" s="1745"/>
      <c r="F5" s="1743"/>
      <c r="G5" s="1743"/>
    </row>
    <row r="6" spans="1:10" ht="16.5">
      <c r="A6" s="1746" t="s">
        <v>1355</v>
      </c>
      <c r="B6" s="1746">
        <f ca="1">SUM(G14:G23)</f>
        <v>7294</v>
      </c>
      <c r="C6" s="1746">
        <f ca="1">ROUND(B6*10000/$B$1,0)</f>
        <v>23556</v>
      </c>
      <c r="D6" s="1746">
        <f ca="1">ROUND(B6*10000/$B$2,0)</f>
        <v>152425</v>
      </c>
      <c r="E6" s="1745"/>
      <c r="F6" s="1743"/>
      <c r="G6" s="1743"/>
    </row>
    <row r="7" spans="1:10" ht="16.5">
      <c r="A7" s="1746" t="s">
        <v>1363</v>
      </c>
      <c r="B7" s="1746">
        <f>SUM(H14:H23)</f>
        <v>0</v>
      </c>
      <c r="C7" s="1746">
        <f>ROUND(B7*10000/$B$1,0)</f>
        <v>0</v>
      </c>
      <c r="D7" s="1746">
        <f>ROUND(B7*10000/$B$2,0)</f>
        <v>0</v>
      </c>
      <c r="E7" s="1745"/>
      <c r="F7" s="1743"/>
      <c r="G7" s="1743"/>
    </row>
    <row r="8" spans="1:10" ht="16.5">
      <c r="A8" s="1746" t="s">
        <v>1284</v>
      </c>
      <c r="B8" s="1746">
        <f>SUM(I14:I23)</f>
        <v>0</v>
      </c>
      <c r="C8" s="1746">
        <f>ROUND(B8*10000/$B$1,0)</f>
        <v>0</v>
      </c>
      <c r="D8" s="1746">
        <f>ROUND(B8*10000/$B$2,0)</f>
        <v>0</v>
      </c>
      <c r="E8" s="1745"/>
      <c r="F8" s="1743"/>
      <c r="G8" s="1743"/>
    </row>
    <row r="9" spans="1:10" ht="16.5">
      <c r="A9" s="1746" t="s">
        <v>1354</v>
      </c>
      <c r="B9" s="1748"/>
      <c r="C9" s="1745"/>
      <c r="D9" s="1745"/>
      <c r="E9" s="1745"/>
      <c r="F9" s="1743"/>
      <c r="G9" s="1743"/>
    </row>
    <row r="10" spans="1:10" ht="16.5">
      <c r="A10" s="1746" t="s">
        <v>1353</v>
      </c>
      <c r="B10" s="1748"/>
      <c r="C10" s="1745"/>
      <c r="D10" s="1745"/>
      <c r="E10" s="1745"/>
      <c r="F10" s="1743"/>
      <c r="G10" s="1743"/>
    </row>
    <row r="11" spans="1:10" ht="16.5">
      <c r="A11" s="1746" t="s">
        <v>1369</v>
      </c>
      <c r="B11" s="1748"/>
      <c r="C11" s="1745"/>
      <c r="D11" s="1745"/>
      <c r="E11" s="1745"/>
      <c r="F11" s="1743"/>
      <c r="G11" s="1743"/>
    </row>
    <row r="12" spans="1:10" ht="16.5">
      <c r="A12" s="1745"/>
      <c r="B12" s="1745"/>
      <c r="C12" s="1745"/>
      <c r="D12" s="1745"/>
      <c r="E12" s="1745"/>
      <c r="F12" s="1743"/>
      <c r="G12" s="1743"/>
    </row>
    <row r="13" spans="1:10" ht="33">
      <c r="A13" s="1751" t="s">
        <v>1368</v>
      </c>
      <c r="B13" s="1744" t="s">
        <v>1365</v>
      </c>
      <c r="C13" s="1744" t="s">
        <v>1367</v>
      </c>
      <c r="D13" s="1744" t="s">
        <v>1366</v>
      </c>
      <c r="E13" s="1746" t="s">
        <v>1358</v>
      </c>
      <c r="F13" s="1746" t="s">
        <v>1357</v>
      </c>
      <c r="G13" s="1744" t="s">
        <v>1351</v>
      </c>
      <c r="H13" s="1744" t="s">
        <v>1362</v>
      </c>
      <c r="I13" s="1744" t="s">
        <v>1350</v>
      </c>
      <c r="J13" s="1743"/>
    </row>
    <row r="14" spans="1:10" ht="16.5">
      <c r="A14" s="1742" t="s">
        <v>1349</v>
      </c>
      <c r="B14" s="1744">
        <f>结果表!B118</f>
        <v>3096.45</v>
      </c>
      <c r="C14" s="1744">
        <f>结果表!C118</f>
        <v>478.53</v>
      </c>
      <c r="D14" s="1744">
        <f ca="1">结果汇总!E7/10000</f>
        <v>7294</v>
      </c>
      <c r="E14" s="1744">
        <f ca="1">ROUND(D14*10000/B14,0)</f>
        <v>23556</v>
      </c>
      <c r="F14" s="1744">
        <f ca="1">ROUND(D14*10000/C14,0)</f>
        <v>152425</v>
      </c>
      <c r="G14" s="1744">
        <f ca="1">结果表!D122</f>
        <v>7294</v>
      </c>
      <c r="H14" s="1744" t="str">
        <f>结果表!D124</f>
        <v>——</v>
      </c>
      <c r="I14" s="1744" t="str">
        <f>结果表!D126</f>
        <v>——</v>
      </c>
      <c r="J14" s="1743"/>
    </row>
    <row r="15" spans="1:10" ht="16.5">
      <c r="A15" s="1742" t="s">
        <v>1348</v>
      </c>
      <c r="B15" s="1749"/>
      <c r="C15" s="1749"/>
      <c r="D15" s="1749"/>
      <c r="E15" s="1744" t="e">
        <f t="shared" ref="E15:E23" si="0">ROUND(D15*10000/B15,0)</f>
        <v>#DIV/0!</v>
      </c>
      <c r="F15" s="1744" t="e">
        <f t="shared" ref="F15:F23" si="1">ROUND(D15*10000/C15,0)</f>
        <v>#DIV/0!</v>
      </c>
      <c r="G15" s="1750"/>
      <c r="H15" s="1750"/>
      <c r="I15" s="1749"/>
      <c r="J15" s="1743"/>
    </row>
    <row r="16" spans="1:10" ht="16.5">
      <c r="A16" s="1742" t="s">
        <v>1347</v>
      </c>
      <c r="B16" s="1749"/>
      <c r="C16" s="1749"/>
      <c r="D16" s="1749"/>
      <c r="E16" s="1744" t="e">
        <f t="shared" si="0"/>
        <v>#DIV/0!</v>
      </c>
      <c r="F16" s="1744" t="e">
        <f t="shared" si="1"/>
        <v>#DIV/0!</v>
      </c>
      <c r="G16" s="1750"/>
      <c r="H16" s="1750"/>
      <c r="I16" s="1749"/>
    </row>
    <row r="17" spans="1:9" ht="16.5">
      <c r="A17" s="1742" t="s">
        <v>1346</v>
      </c>
      <c r="B17" s="1749"/>
      <c r="C17" s="1749"/>
      <c r="D17" s="1749"/>
      <c r="E17" s="1744" t="e">
        <f t="shared" si="0"/>
        <v>#DIV/0!</v>
      </c>
      <c r="F17" s="1744" t="e">
        <f t="shared" si="1"/>
        <v>#DIV/0!</v>
      </c>
      <c r="G17" s="1750"/>
      <c r="H17" s="1750"/>
      <c r="I17" s="1749"/>
    </row>
    <row r="18" spans="1:9" ht="16.5">
      <c r="A18" s="1742" t="s">
        <v>1345</v>
      </c>
      <c r="B18" s="1749"/>
      <c r="C18" s="1749"/>
      <c r="D18" s="1749"/>
      <c r="E18" s="1744" t="e">
        <f t="shared" si="0"/>
        <v>#DIV/0!</v>
      </c>
      <c r="F18" s="1744" t="e">
        <f t="shared" si="1"/>
        <v>#DIV/0!</v>
      </c>
      <c r="G18" s="1749"/>
      <c r="H18" s="1749"/>
      <c r="I18" s="1749"/>
    </row>
    <row r="19" spans="1:9" ht="16.5">
      <c r="A19" s="1742" t="s">
        <v>1344</v>
      </c>
      <c r="B19" s="1749"/>
      <c r="C19" s="1749"/>
      <c r="D19" s="1749"/>
      <c r="E19" s="1744" t="e">
        <f t="shared" si="0"/>
        <v>#DIV/0!</v>
      </c>
      <c r="F19" s="1744" t="e">
        <f t="shared" si="1"/>
        <v>#DIV/0!</v>
      </c>
      <c r="G19" s="1749"/>
      <c r="H19" s="1749"/>
      <c r="I19" s="1749"/>
    </row>
    <row r="20" spans="1:9" ht="16.5">
      <c r="A20" s="1742" t="s">
        <v>1343</v>
      </c>
      <c r="B20" s="1749"/>
      <c r="C20" s="1749"/>
      <c r="D20" s="1749"/>
      <c r="E20" s="1744" t="e">
        <f t="shared" si="0"/>
        <v>#DIV/0!</v>
      </c>
      <c r="F20" s="1744" t="e">
        <f t="shared" si="1"/>
        <v>#DIV/0!</v>
      </c>
      <c r="G20" s="1749"/>
      <c r="H20" s="1749"/>
      <c r="I20" s="1749"/>
    </row>
    <row r="21" spans="1:9" ht="16.5">
      <c r="A21" s="1742" t="s">
        <v>1342</v>
      </c>
      <c r="B21" s="1749"/>
      <c r="C21" s="1749"/>
      <c r="D21" s="1749"/>
      <c r="E21" s="1744" t="e">
        <f t="shared" si="0"/>
        <v>#DIV/0!</v>
      </c>
      <c r="F21" s="1744" t="e">
        <f t="shared" si="1"/>
        <v>#DIV/0!</v>
      </c>
      <c r="G21" s="1749"/>
      <c r="H21" s="1749"/>
      <c r="I21" s="1749"/>
    </row>
    <row r="22" spans="1:9" ht="16.5">
      <c r="A22" s="1742" t="s">
        <v>1341</v>
      </c>
      <c r="B22" s="1749"/>
      <c r="C22" s="1749"/>
      <c r="D22" s="1749"/>
      <c r="E22" s="1744" t="e">
        <f t="shared" si="0"/>
        <v>#DIV/0!</v>
      </c>
      <c r="F22" s="1744" t="e">
        <f t="shared" si="1"/>
        <v>#DIV/0!</v>
      </c>
      <c r="G22" s="1749"/>
      <c r="H22" s="1749"/>
      <c r="I22" s="1749"/>
    </row>
    <row r="23" spans="1:9" ht="16.5">
      <c r="A23" s="1742" t="s">
        <v>1340</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G20" sqref="G20"/>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2121</v>
      </c>
      <c r="B1" s="2422"/>
      <c r="C1" s="2423"/>
      <c r="D1" s="2422"/>
      <c r="E1" s="2422"/>
      <c r="F1" s="2424" t="s">
        <v>2122</v>
      </c>
      <c r="G1" s="2074" t="s">
        <v>3062</v>
      </c>
      <c r="H1" s="2425" t="str">
        <f>IF(G1="现房","——","估价对象范围")</f>
        <v>——</v>
      </c>
      <c r="I1" s="2426"/>
    </row>
    <row r="2" spans="1:12" ht="21.75" customHeight="1" thickBot="1">
      <c r="A2" s="3116" t="str">
        <f>项目基本情况!S2</f>
        <v>北京市石景山区西黄新村北里甲11号楼房地产</v>
      </c>
      <c r="B2" s="3117"/>
      <c r="C2" s="3117"/>
      <c r="D2" s="3117"/>
      <c r="E2" s="3117"/>
      <c r="F2" s="3117"/>
      <c r="G2" s="3117"/>
      <c r="H2" s="3117"/>
      <c r="I2" s="3118"/>
    </row>
    <row r="3" spans="1:12" ht="12.75">
      <c r="A3" s="3120" t="s">
        <v>2123</v>
      </c>
      <c r="B3" s="3121"/>
      <c r="C3" s="3121"/>
      <c r="D3" s="3121"/>
      <c r="E3" s="3121"/>
      <c r="F3" s="3121"/>
      <c r="G3" s="3121"/>
      <c r="H3" s="3121"/>
      <c r="I3" s="3121"/>
    </row>
    <row r="4" spans="1:12" ht="14.25">
      <c r="A4" s="2429" t="s">
        <v>2124</v>
      </c>
      <c r="B4" s="2430" t="s">
        <v>2125</v>
      </c>
      <c r="C4" s="2431" t="s">
        <v>3076</v>
      </c>
      <c r="D4" s="2431" t="s">
        <v>3081</v>
      </c>
      <c r="E4" s="3113" t="s">
        <v>2126</v>
      </c>
      <c r="F4" s="3114"/>
      <c r="G4" s="3114"/>
      <c r="H4" s="3114"/>
      <c r="I4" s="3122"/>
      <c r="K4" s="2432" t="str">
        <f>IF(ISNUMBER(FIND("比较法",结果表!C4)),"比较法",IF(ISNUMBER(FIND("成本法",结果表!C4)),"成本法",IF(ISNUMBER(FIND("假设开发法",结果表!C4)),"假设开发法",IF(ISNUMBER(FIND("收益法",结果表!C4)),"收益法","基准地价系数修正法"))))</f>
        <v>收益法</v>
      </c>
      <c r="L4" s="2432" t="str">
        <f>IF(ISNUMBER(FIND("比较法",结果表!D4)),"比较法",IF(ISNUMBER(FIND("成本法",结果表!D4)),"成本法",IF(ISNUMBER(FIND("假设开发法",结果表!D4)),"假设开发法",IF(ISNUMBER(FIND("收益法",结果表!D4)),"收益法","基准地价系数修正法"))))</f>
        <v>成本法</v>
      </c>
    </row>
    <row r="5" spans="1:12" ht="12.75">
      <c r="A5" s="3096" t="s">
        <v>2127</v>
      </c>
      <c r="B5" s="3034">
        <v>25</v>
      </c>
      <c r="C5" s="3099">
        <v>2</v>
      </c>
      <c r="D5" s="3119">
        <v>8</v>
      </c>
      <c r="E5" s="140" t="s">
        <v>2128</v>
      </c>
      <c r="F5" s="2433"/>
      <c r="G5" s="2433"/>
      <c r="H5" s="2433"/>
      <c r="I5" s="1834"/>
    </row>
    <row r="6" spans="1:12" ht="12.75">
      <c r="A6" s="3096"/>
      <c r="B6" s="3034"/>
      <c r="C6" s="3100"/>
      <c r="D6" s="3119"/>
      <c r="E6" s="140" t="s">
        <v>2129</v>
      </c>
      <c r="F6" s="2433"/>
      <c r="G6" s="2433"/>
      <c r="H6" s="2433"/>
      <c r="I6" s="1834"/>
    </row>
    <row r="7" spans="1:12" ht="12.75">
      <c r="A7" s="3096"/>
      <c r="B7" s="3034"/>
      <c r="C7" s="3101"/>
      <c r="D7" s="3119"/>
      <c r="E7" s="140" t="s">
        <v>2130</v>
      </c>
      <c r="F7" s="2433"/>
      <c r="G7" s="2433"/>
      <c r="H7" s="2433"/>
      <c r="I7" s="1834"/>
    </row>
    <row r="8" spans="1:12" ht="12.75">
      <c r="A8" s="3096" t="s">
        <v>2131</v>
      </c>
      <c r="B8" s="3034">
        <v>15</v>
      </c>
      <c r="C8" s="3099"/>
      <c r="D8" s="3119"/>
      <c r="E8" s="140" t="s">
        <v>2132</v>
      </c>
      <c r="F8" s="2433"/>
      <c r="G8" s="2433"/>
      <c r="H8" s="2433"/>
      <c r="I8" s="1834"/>
    </row>
    <row r="9" spans="1:12" ht="12.75">
      <c r="A9" s="3096"/>
      <c r="B9" s="3034"/>
      <c r="C9" s="3101"/>
      <c r="D9" s="3119"/>
      <c r="E9" s="140" t="s">
        <v>2133</v>
      </c>
      <c r="F9" s="2433"/>
      <c r="G9" s="2433"/>
      <c r="H9" s="2433"/>
      <c r="I9" s="1834"/>
    </row>
    <row r="10" spans="1:12" ht="12.75">
      <c r="A10" s="3096" t="s">
        <v>2134</v>
      </c>
      <c r="B10" s="3034">
        <v>15</v>
      </c>
      <c r="C10" s="3099"/>
      <c r="D10" s="3119"/>
      <c r="E10" s="140" t="s">
        <v>2135</v>
      </c>
      <c r="F10" s="2433"/>
      <c r="G10" s="2433"/>
      <c r="H10" s="2433"/>
      <c r="I10" s="1834"/>
    </row>
    <row r="11" spans="1:12" ht="12.75">
      <c r="A11" s="3096"/>
      <c r="B11" s="3034"/>
      <c r="C11" s="3101"/>
      <c r="D11" s="3119"/>
      <c r="E11" s="140" t="s">
        <v>2136</v>
      </c>
      <c r="F11" s="2433"/>
      <c r="G11" s="2433"/>
      <c r="H11" s="2433"/>
      <c r="I11" s="1834"/>
    </row>
    <row r="12" spans="1:12" ht="12.75">
      <c r="A12" s="3096" t="s">
        <v>2137</v>
      </c>
      <c r="B12" s="3034">
        <v>15</v>
      </c>
      <c r="C12" s="3099"/>
      <c r="D12" s="3119"/>
      <c r="E12" s="140" t="s">
        <v>2138</v>
      </c>
      <c r="F12" s="2433"/>
      <c r="G12" s="2433"/>
      <c r="H12" s="2433"/>
      <c r="I12" s="1834"/>
    </row>
    <row r="13" spans="1:12" ht="12.75">
      <c r="A13" s="3096"/>
      <c r="B13" s="3034"/>
      <c r="C13" s="3101"/>
      <c r="D13" s="3119"/>
      <c r="E13" s="140" t="s">
        <v>2139</v>
      </c>
      <c r="F13" s="2433"/>
      <c r="G13" s="2433"/>
      <c r="H13" s="2433"/>
      <c r="I13" s="1834"/>
    </row>
    <row r="14" spans="1:12" ht="12.75">
      <c r="A14" s="3096" t="s">
        <v>2140</v>
      </c>
      <c r="B14" s="3034">
        <v>30</v>
      </c>
      <c r="C14" s="3099"/>
      <c r="D14" s="3119"/>
      <c r="E14" s="140" t="s">
        <v>2141</v>
      </c>
      <c r="F14" s="2433"/>
      <c r="G14" s="2433"/>
      <c r="H14" s="2433"/>
      <c r="I14" s="1834"/>
    </row>
    <row r="15" spans="1:12" ht="12.75">
      <c r="A15" s="3096"/>
      <c r="B15" s="3034"/>
      <c r="C15" s="3100"/>
      <c r="D15" s="3119"/>
      <c r="E15" s="140" t="s">
        <v>2142</v>
      </c>
      <c r="F15" s="2433"/>
      <c r="G15" s="2433"/>
      <c r="H15" s="2433"/>
      <c r="I15" s="1834"/>
    </row>
    <row r="16" spans="1:12" ht="12.75">
      <c r="A16" s="3096"/>
      <c r="B16" s="3034"/>
      <c r="C16" s="3101"/>
      <c r="D16" s="3119"/>
      <c r="E16" s="140" t="s">
        <v>2143</v>
      </c>
      <c r="F16" s="2433"/>
      <c r="G16" s="2433"/>
      <c r="H16" s="2433"/>
      <c r="I16" s="1834"/>
    </row>
    <row r="17" spans="1:35" ht="15">
      <c r="A17" s="2434" t="s">
        <v>2144</v>
      </c>
      <c r="B17" s="64"/>
      <c r="C17" s="141">
        <f>SUM(C5:C16)</f>
        <v>2</v>
      </c>
      <c r="D17" s="141">
        <f>SUM(D5:D16)</f>
        <v>8</v>
      </c>
      <c r="E17" s="138"/>
      <c r="F17" s="138"/>
      <c r="G17" s="138"/>
      <c r="H17" s="138"/>
      <c r="I17" s="138"/>
      <c r="K17" s="2432"/>
      <c r="L17" s="2435" t="s">
        <v>2145</v>
      </c>
      <c r="M17" s="2435" t="s">
        <v>2146</v>
      </c>
    </row>
    <row r="18" spans="1:35" ht="15.75" thickBot="1">
      <c r="A18" s="2436" t="s">
        <v>2147</v>
      </c>
      <c r="B18" s="2437"/>
      <c r="C18" s="142">
        <f>ROUND(C17/SUM(C17:D17),2)</f>
        <v>0.2</v>
      </c>
      <c r="D18" s="142">
        <f>1-C18</f>
        <v>0.8</v>
      </c>
      <c r="E18" s="138"/>
      <c r="F18" s="138"/>
      <c r="G18" s="138"/>
      <c r="H18" s="138"/>
      <c r="I18" s="138"/>
      <c r="K18" s="2432" t="s">
        <v>2148</v>
      </c>
      <c r="L18" s="2432">
        <f>IF(C1="",'数据-汇总表'!E3,SUMIF(项目类型,C1,'数据-汇总表'!E17:E26)+SUMIF(项目类型,C1,'数据-汇总表'!I17:I26))</f>
        <v>3096.45</v>
      </c>
      <c r="M18" s="2432">
        <f>IF(C1="",'数据-汇总表'!E3,SUMIF(项目类型,C1,'数据-汇总表'!E17:E26))</f>
        <v>3096.45</v>
      </c>
    </row>
    <row r="19" spans="1:35" ht="15">
      <c r="A19" s="2438" t="s">
        <v>2149</v>
      </c>
      <c r="B19" s="2439" t="s">
        <v>2150</v>
      </c>
      <c r="C19" s="143">
        <f ca="1">SUMIF(INDIRECT("'"&amp;C4&amp;"'"&amp;"!A:A"),结果表!B19,INDIRECT("'"&amp;C4&amp;"'"&amp;"!B:B"))</f>
        <v>4651</v>
      </c>
      <c r="D19" s="144">
        <f ca="1">SUMIF(INDIRECT("'"&amp;D4&amp;"'"&amp;"!A:A"),结果表!B19,INDIRECT("'"&amp;D4&amp;"'"&amp;"!B:B"))</f>
        <v>7955</v>
      </c>
      <c r="E19" s="2438" t="s">
        <v>2151</v>
      </c>
      <c r="F19" s="2439" t="s">
        <v>2150</v>
      </c>
      <c r="G19" s="145">
        <f ca="1">ROUND(C19*$C$18+D19*$D$18,0)</f>
        <v>7294</v>
      </c>
      <c r="H19" s="2440" t="s">
        <v>2152</v>
      </c>
      <c r="I19" s="138"/>
      <c r="K19" s="2432" t="s">
        <v>2153</v>
      </c>
      <c r="L19" s="2432">
        <f>IF(C1="",'数据-汇总表'!D3,SUMIF(项目类型,C1,'数据-汇总表'!D17:D26)+SUMIF(项目类型,C1,'数据-汇总表'!H17:H27))</f>
        <v>478.53</v>
      </c>
      <c r="M19" s="2432">
        <f>IF(C1="",'数据-汇总表'!D3,SUMIF(项目类型,C1,'数据-汇总表'!D17:D26))</f>
        <v>478.53</v>
      </c>
    </row>
    <row r="20" spans="1:35" ht="15">
      <c r="A20" s="2441"/>
      <c r="B20" s="1250" t="s">
        <v>2154</v>
      </c>
      <c r="C20" s="146">
        <f ca="1">SUMIF(INDIRECT("'"&amp;C4&amp;"'"&amp;"!A:A"),结果表!B20,INDIRECT("'"&amp;C4&amp;"'"&amp;"!B:B"))</f>
        <v>15021</v>
      </c>
      <c r="D20" s="147">
        <f ca="1">SUMIF(INDIRECT("'"&amp;D4&amp;"'"&amp;"!A:A"),结果表!B20,INDIRECT("'"&amp;D4&amp;"'"&amp;"!B:B"))</f>
        <v>25691</v>
      </c>
      <c r="E20" s="2441"/>
      <c r="F20" s="1250" t="s">
        <v>2154</v>
      </c>
      <c r="G20" s="148">
        <f ca="1">ROUND(C20*$C$18+D20*$D$18,0)</f>
        <v>23557</v>
      </c>
      <c r="H20" s="983" t="s">
        <v>2155</v>
      </c>
      <c r="I20" s="138"/>
    </row>
    <row r="21" spans="1:35" ht="15" customHeight="1" thickBot="1">
      <c r="A21" s="1003"/>
      <c r="B21" s="2442" t="s">
        <v>2156</v>
      </c>
      <c r="C21" s="789">
        <f ca="1">ROUND(C19*10000/L19,0)</f>
        <v>97193</v>
      </c>
      <c r="D21" s="790">
        <f ca="1">ROUND(D19*10000/L19,0)</f>
        <v>166238</v>
      </c>
      <c r="E21" s="1003"/>
      <c r="F21" s="2442" t="s">
        <v>2156</v>
      </c>
      <c r="G21" s="149">
        <f ca="1">ROUND(G19*10000/L19,0)</f>
        <v>152425</v>
      </c>
      <c r="H21" s="2443" t="s">
        <v>2155</v>
      </c>
      <c r="I21" s="138"/>
    </row>
    <row r="22" spans="1:35" ht="15" thickBot="1">
      <c r="A22" s="2284" t="s">
        <v>2157</v>
      </c>
      <c r="B22" s="2444"/>
      <c r="C22" s="2445"/>
      <c r="D22" s="791">
        <f ca="1">IF(C19&lt;D19,D19/C19-1,C19/D19-1)</f>
        <v>0.71038486347022145</v>
      </c>
      <c r="E22" s="138"/>
      <c r="F22" s="138"/>
      <c r="G22" s="138"/>
      <c r="H22" s="138"/>
      <c r="I22" s="138"/>
    </row>
    <row r="23" spans="1:35" ht="13.5" thickBot="1">
      <c r="A23" s="2422"/>
      <c r="B23" s="2422"/>
      <c r="C23" s="2422"/>
      <c r="D23" s="2422"/>
      <c r="E23" s="138"/>
      <c r="F23" s="138"/>
      <c r="G23" s="138"/>
      <c r="H23" s="138"/>
      <c r="I23" s="138"/>
    </row>
    <row r="24" spans="1:35" ht="14.25">
      <c r="A24" s="3090" t="s">
        <v>2158</v>
      </c>
      <c r="B24" s="2439" t="s">
        <v>2150</v>
      </c>
      <c r="C24" s="145">
        <f>IF(B30=0,0,D30)</f>
        <v>0</v>
      </c>
      <c r="D24" s="2446"/>
      <c r="E24" s="138"/>
      <c r="F24" s="138"/>
      <c r="G24" s="138"/>
      <c r="H24" s="138"/>
      <c r="I24" s="138"/>
    </row>
    <row r="25" spans="1:35" ht="14.25">
      <c r="A25" s="3091"/>
      <c r="B25" s="1250" t="s">
        <v>2154</v>
      </c>
      <c r="C25" s="150">
        <f>IF(B30=0,0,C30)</f>
        <v>0</v>
      </c>
      <c r="D25" s="2447"/>
      <c r="E25" s="138"/>
      <c r="F25" s="138"/>
      <c r="G25" s="138"/>
      <c r="H25" s="138"/>
      <c r="I25" s="138"/>
    </row>
    <row r="26" spans="1:35" ht="13.5" customHeight="1">
      <c r="A26" s="2448" t="s">
        <v>2159</v>
      </c>
      <c r="B26" s="151" t="s">
        <v>2160</v>
      </c>
      <c r="C26" s="151" t="s">
        <v>2161</v>
      </c>
      <c r="D26" s="152" t="s">
        <v>2162</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2163</v>
      </c>
      <c r="B30" s="151"/>
      <c r="C30" s="151"/>
      <c r="D30" s="151"/>
      <c r="E30" s="2931" t="s">
        <v>3037</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2164</v>
      </c>
      <c r="B32" s="2452"/>
      <c r="C32" s="153">
        <f ca="1">IF(D32="总价",G19-C24,G20-C25)</f>
        <v>7294</v>
      </c>
      <c r="D32" s="2453" t="s">
        <v>2165</v>
      </c>
      <c r="E32" s="138"/>
      <c r="F32" s="138"/>
      <c r="G32" s="138"/>
      <c r="H32" s="138"/>
      <c r="I32" s="138"/>
    </row>
    <row r="33" spans="1:15" ht="15">
      <c r="A33" s="960" t="s">
        <v>2166</v>
      </c>
      <c r="B33" s="2454"/>
      <c r="C33" s="2455"/>
      <c r="D33" s="2456"/>
      <c r="E33" s="2457" t="s">
        <v>2167</v>
      </c>
      <c r="F33" s="2458" t="str">
        <f>IF(D32="楼面单价","取值（单价）","取值（总价）")</f>
        <v>取值（总价）</v>
      </c>
      <c r="G33" s="138"/>
      <c r="H33" s="138"/>
      <c r="I33" s="138"/>
    </row>
    <row r="34" spans="1:15" ht="15">
      <c r="A34" s="2459"/>
      <c r="B34" s="2460" t="s">
        <v>2168</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2169</v>
      </c>
      <c r="F34" s="1739"/>
      <c r="G34" s="138"/>
      <c r="H34" s="138"/>
      <c r="I34" s="138"/>
    </row>
    <row r="35" spans="1:15" ht="15.75" thickBot="1">
      <c r="A35" s="2462"/>
      <c r="B35" s="2463" t="s">
        <v>2170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2171</v>
      </c>
      <c r="F35" s="163"/>
      <c r="G35" s="138"/>
      <c r="H35" s="138"/>
      <c r="I35" s="138"/>
    </row>
    <row r="36" spans="1:15" ht="15.75" thickBot="1">
      <c r="A36" s="3108" t="s">
        <v>2172</v>
      </c>
      <c r="B36" s="2465" t="s">
        <v>2173</v>
      </c>
      <c r="C36" s="154"/>
      <c r="D36" s="2466"/>
      <c r="E36" s="2467"/>
      <c r="F36" s="2468"/>
      <c r="G36" s="138"/>
      <c r="H36" s="138"/>
      <c r="I36" s="138"/>
    </row>
    <row r="37" spans="1:15" ht="15.75" thickBot="1">
      <c r="A37" s="3109"/>
      <c r="B37" s="2270" t="s">
        <v>2174</v>
      </c>
      <c r="C37" s="156"/>
      <c r="D37" s="1395"/>
      <c r="E37" s="1395"/>
      <c r="F37" s="2468"/>
      <c r="G37" s="138"/>
      <c r="H37" s="138"/>
      <c r="I37" s="138"/>
    </row>
    <row r="38" spans="1:15" ht="15.75" thickBot="1">
      <c r="A38" s="3110"/>
      <c r="B38" s="2469" t="s">
        <v>2175</v>
      </c>
      <c r="C38" s="727"/>
      <c r="D38" s="2470" t="s">
        <v>2176</v>
      </c>
      <c r="E38" s="1395"/>
      <c r="F38" s="2468"/>
      <c r="G38" s="138"/>
      <c r="H38" s="138"/>
      <c r="I38" s="138"/>
    </row>
    <row r="39" spans="1:15" ht="15">
      <c r="A39" s="2441" t="s">
        <v>2177</v>
      </c>
      <c r="B39" s="2471" t="s">
        <v>2178</v>
      </c>
      <c r="C39" s="2472" t="s">
        <v>2179</v>
      </c>
      <c r="D39" s="2472" t="s">
        <v>2180</v>
      </c>
      <c r="E39" s="2473" t="s">
        <v>2181</v>
      </c>
      <c r="F39" s="2468"/>
      <c r="G39" s="138"/>
      <c r="H39" s="138"/>
      <c r="I39" s="138"/>
    </row>
    <row r="40" spans="1:15" ht="14.25">
      <c r="A40" s="2474" t="s">
        <v>2182</v>
      </c>
      <c r="B40" s="158"/>
      <c r="C40" s="159"/>
      <c r="D40" s="159"/>
      <c r="E40" s="160"/>
      <c r="F40" s="2468"/>
      <c r="G40" s="138"/>
      <c r="H40" s="138"/>
      <c r="I40" s="138"/>
    </row>
    <row r="41" spans="1:15" ht="14.25">
      <c r="A41" s="2474" t="s">
        <v>2183</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2184</v>
      </c>
      <c r="B44" s="2479"/>
      <c r="C44" s="2479"/>
      <c r="D44" s="2480"/>
      <c r="E44" s="2480"/>
      <c r="F44" s="2481"/>
      <c r="G44" s="2481"/>
      <c r="H44" s="2481"/>
      <c r="I44" s="2481"/>
      <c r="J44" s="2482" t="s">
        <v>2185</v>
      </c>
      <c r="K44" s="2483"/>
      <c r="L44" s="2483"/>
      <c r="M44" s="2483"/>
      <c r="N44" s="2483"/>
      <c r="O44" s="2483"/>
    </row>
    <row r="45" spans="1:15" ht="14.25" customHeight="1" thickBot="1">
      <c r="A45" s="3087" t="s">
        <v>2186</v>
      </c>
      <c r="B45" s="3088"/>
      <c r="C45" s="3089"/>
      <c r="D45" s="164">
        <f ca="1">ROUND(H101*F45,0)</f>
        <v>7294</v>
      </c>
      <c r="E45" s="165" t="s">
        <v>2187</v>
      </c>
      <c r="F45" s="166">
        <v>1</v>
      </c>
      <c r="G45" s="167" t="s">
        <v>2188</v>
      </c>
      <c r="H45" s="138"/>
      <c r="I45" s="138"/>
      <c r="J45" s="3147" t="s">
        <v>2189</v>
      </c>
      <c r="K45" s="3147"/>
      <c r="L45" s="3147"/>
      <c r="M45" s="3147"/>
      <c r="N45" s="3147"/>
      <c r="O45" s="3147"/>
    </row>
    <row r="46" spans="1:15" ht="14.25" customHeight="1">
      <c r="A46" s="3084" t="s">
        <v>2190</v>
      </c>
      <c r="B46" s="3085"/>
      <c r="C46" s="3085"/>
      <c r="D46" s="3085"/>
      <c r="E46" s="3085"/>
      <c r="F46" s="3085"/>
      <c r="G46" s="3086"/>
      <c r="H46" s="2484"/>
      <c r="I46" s="168"/>
      <c r="J46" s="1812">
        <v>1</v>
      </c>
      <c r="K46" s="3147" t="s">
        <v>2191</v>
      </c>
      <c r="L46" s="3147"/>
      <c r="M46" s="3167"/>
      <c r="N46" s="3167"/>
      <c r="O46" s="3167"/>
    </row>
    <row r="47" spans="1:15" ht="12" customHeight="1">
      <c r="A47" s="169" t="s">
        <v>2192</v>
      </c>
      <c r="B47" s="170"/>
      <c r="C47" s="171"/>
      <c r="D47" s="172" t="s">
        <v>2193</v>
      </c>
      <c r="E47" s="24" t="s">
        <v>2194</v>
      </c>
      <c r="F47" s="173" t="s">
        <v>2195</v>
      </c>
      <c r="G47" s="174" t="s">
        <v>2196</v>
      </c>
      <c r="H47" s="2484"/>
      <c r="I47" s="168"/>
      <c r="J47" s="1812">
        <v>2</v>
      </c>
      <c r="K47" s="3147" t="s">
        <v>2197</v>
      </c>
      <c r="L47" s="3147"/>
      <c r="M47" s="3168">
        <f>'数据-取费表'!B2</f>
        <v>43359</v>
      </c>
      <c r="N47" s="3168"/>
      <c r="O47" s="3168"/>
    </row>
    <row r="48" spans="1:15" ht="25.5">
      <c r="A48" s="3115" t="s">
        <v>2198</v>
      </c>
      <c r="B48" s="3098"/>
      <c r="C48" s="3098"/>
      <c r="D48" s="140">
        <f>IF(H48="情况1",0,IF(H48="情况2",D52,IF(H48="情况3",D53,IF(H48="情况4",D54))))</f>
        <v>0</v>
      </c>
      <c r="E48" s="1801" t="str">
        <f>IF(H48="情况4","(销售额-原购置价)×税（费）率","销售额×税（费）率")</f>
        <v>销售额×税（费）率</v>
      </c>
      <c r="F48" s="175" t="str">
        <f>IF(H48="情况1","免征",'数据-取费表'!B41)</f>
        <v>免征</v>
      </c>
      <c r="G48" s="2485" t="s">
        <v>2199</v>
      </c>
      <c r="H48" s="2486" t="s">
        <v>2200</v>
      </c>
      <c r="I48" s="2484"/>
      <c r="J48" s="1812">
        <v>3</v>
      </c>
      <c r="K48" s="3147" t="s">
        <v>2201</v>
      </c>
      <c r="L48" s="3147"/>
      <c r="M48" s="3169">
        <f ca="1">H101</f>
        <v>7294</v>
      </c>
      <c r="N48" s="3169"/>
      <c r="O48" s="3169"/>
    </row>
    <row r="49" spans="1:35" ht="25.5" customHeight="1">
      <c r="A49" s="176" t="s">
        <v>2202</v>
      </c>
      <c r="B49" s="3083" t="s">
        <v>2203</v>
      </c>
      <c r="C49" s="3083"/>
      <c r="D49" s="177">
        <v>0</v>
      </c>
      <c r="E49" s="23" t="s">
        <v>2204</v>
      </c>
      <c r="F49" s="28" t="s">
        <v>34</v>
      </c>
      <c r="G49" s="3153"/>
      <c r="H49" s="138"/>
      <c r="I49" s="2487"/>
      <c r="J49" s="1812">
        <v>4</v>
      </c>
      <c r="K49" s="3147" t="str">
        <f>IF(项目基本情况!E8="房地产抵押价值","房地产抵押价值","抵押担保权已注销时的房地产抵押价值")</f>
        <v>抵押担保权已注销时的房地产抵押价值</v>
      </c>
      <c r="L49" s="3147"/>
      <c r="M49" s="3169" t="str">
        <f>IF(项目基本情况!E8="房地产抵押价值",H107,H109)</f>
        <v>——</v>
      </c>
      <c r="N49" s="3169"/>
      <c r="O49" s="3169"/>
    </row>
    <row r="50" spans="1:35" ht="25.5" customHeight="1">
      <c r="A50" s="178"/>
      <c r="B50" s="3083" t="s">
        <v>2205</v>
      </c>
      <c r="C50" s="3083"/>
      <c r="D50" s="179"/>
      <c r="E50" s="31"/>
      <c r="F50" s="180"/>
      <c r="G50" s="3154"/>
      <c r="H50" s="138"/>
      <c r="I50" s="2487"/>
      <c r="J50" s="3147" t="s">
        <v>2206</v>
      </c>
      <c r="K50" s="3147"/>
      <c r="L50" s="3147"/>
      <c r="M50" s="3147"/>
      <c r="N50" s="3147"/>
      <c r="O50" s="3147"/>
    </row>
    <row r="51" spans="1:35" ht="12" customHeight="1">
      <c r="A51" s="181"/>
      <c r="B51" s="3083" t="s">
        <v>2207</v>
      </c>
      <c r="C51" s="3083"/>
      <c r="D51" s="182"/>
      <c r="E51" s="30"/>
      <c r="F51" s="180"/>
      <c r="G51" s="3155"/>
      <c r="H51" s="138"/>
      <c r="I51" s="2487"/>
      <c r="J51" s="2488" t="s">
        <v>2208</v>
      </c>
      <c r="K51" s="3147" t="s">
        <v>2209</v>
      </c>
      <c r="L51" s="3147"/>
      <c r="M51" s="2488" t="s">
        <v>2210</v>
      </c>
      <c r="N51" s="2488" t="s">
        <v>2211</v>
      </c>
      <c r="O51" s="2488" t="s">
        <v>2212</v>
      </c>
    </row>
    <row r="52" spans="1:35" ht="24" customHeight="1">
      <c r="A52" s="183" t="s">
        <v>2213</v>
      </c>
      <c r="B52" s="3083" t="s">
        <v>2214</v>
      </c>
      <c r="C52" s="3083"/>
      <c r="D52" s="182">
        <f ca="1">ROUND(D45*'数据-取费表'!B41/(1+'数据-取费表'!C42),0)</f>
        <v>389</v>
      </c>
      <c r="E52" s="11" t="s">
        <v>2215</v>
      </c>
      <c r="F52" s="184">
        <f>'数据-取费表'!B41</f>
        <v>5.6000000000000001E-2</v>
      </c>
      <c r="G52" s="2489"/>
      <c r="H52" s="138"/>
      <c r="I52" s="2487"/>
      <c r="J52" s="1812">
        <v>1</v>
      </c>
      <c r="K52" s="3148" t="s">
        <v>2216</v>
      </c>
      <c r="L52" s="3148"/>
      <c r="M52" s="1754">
        <f>D48</f>
        <v>0</v>
      </c>
      <c r="N52" s="1812" t="str">
        <f>E48</f>
        <v>销售额×税（费）率</v>
      </c>
      <c r="O52" s="1755" t="str">
        <f>F48</f>
        <v>免征</v>
      </c>
    </row>
    <row r="53" spans="1:35" ht="12" customHeight="1">
      <c r="A53" s="183" t="s">
        <v>2217</v>
      </c>
      <c r="B53" s="3106" t="s">
        <v>2218</v>
      </c>
      <c r="C53" s="3107"/>
      <c r="D53" s="182">
        <f ca="1">ROUND(D45*'数据-取费表'!B41/(1+'数据-取费表'!C42),0)</f>
        <v>389</v>
      </c>
      <c r="E53" s="11" t="s">
        <v>2215</v>
      </c>
      <c r="F53" s="184">
        <f>'数据-取费表'!B41</f>
        <v>5.6000000000000001E-2</v>
      </c>
      <c r="G53" s="2489"/>
      <c r="H53" s="138"/>
      <c r="I53" s="2487"/>
      <c r="J53" s="1812">
        <v>2</v>
      </c>
      <c r="K53" s="3148" t="s">
        <v>2219</v>
      </c>
      <c r="L53" s="3148"/>
      <c r="M53" s="1754">
        <f t="shared" ref="M53:O54" ca="1" si="0">D55</f>
        <v>4</v>
      </c>
      <c r="N53" s="1812" t="str">
        <f t="shared" si="0"/>
        <v>销售额×税（费）率</v>
      </c>
      <c r="O53" s="1755">
        <f t="shared" si="0"/>
        <v>5.0000000000000001E-4</v>
      </c>
    </row>
    <row r="54" spans="1:35" ht="12" customHeight="1">
      <c r="A54" s="183" t="s">
        <v>2220</v>
      </c>
      <c r="B54" s="3106" t="s">
        <v>2221</v>
      </c>
      <c r="C54" s="3107"/>
      <c r="D54" s="182">
        <f ca="1">C68</f>
        <v>389</v>
      </c>
      <c r="E54" s="30" t="s">
        <v>2222</v>
      </c>
      <c r="F54" s="184">
        <f>'数据-取费表'!B41</f>
        <v>5.6000000000000001E-2</v>
      </c>
      <c r="G54" s="2489"/>
      <c r="H54" s="2490"/>
      <c r="I54" s="2487"/>
      <c r="J54" s="1812">
        <v>3</v>
      </c>
      <c r="K54" s="3148" t="s">
        <v>2223</v>
      </c>
      <c r="L54" s="3148"/>
      <c r="M54" s="1754">
        <f t="shared" ca="1" si="0"/>
        <v>4128</v>
      </c>
      <c r="N54" s="1812" t="str">
        <f t="shared" si="0"/>
        <v>增值额×税（费）率</v>
      </c>
      <c r="O54" s="1756" t="str">
        <f t="shared" si="0"/>
        <v>——</v>
      </c>
    </row>
    <row r="55" spans="1:35" ht="24" customHeight="1">
      <c r="A55" s="3097" t="s">
        <v>2224</v>
      </c>
      <c r="B55" s="3098"/>
      <c r="C55" s="3098"/>
      <c r="D55" s="185">
        <f ca="1">IF(H55="个人住宅",0,ROUND(D45*I55,0))</f>
        <v>4</v>
      </c>
      <c r="E55" s="11" t="s">
        <v>2225</v>
      </c>
      <c r="F55" s="184">
        <f>IF(H55="正常",I55,"免征")</f>
        <v>5.0000000000000001E-4</v>
      </c>
      <c r="G55" s="2489"/>
      <c r="H55" s="2486" t="s">
        <v>2226</v>
      </c>
      <c r="I55" s="186">
        <f>'数据-取费表'!B49</f>
        <v>5.0000000000000001E-4</v>
      </c>
      <c r="J55" s="1812" t="str">
        <f>IF(H59="非个人房产","",4)</f>
        <v/>
      </c>
      <c r="K55" s="3148" t="str">
        <f>IF(H59="非个人房产","——","个人所得税")</f>
        <v>——</v>
      </c>
      <c r="L55" s="3148"/>
      <c r="M55" s="1757" t="str">
        <f>D59</f>
        <v>——</v>
      </c>
      <c r="N55" s="1810" t="str">
        <f>E59</f>
        <v>——</v>
      </c>
      <c r="O55" s="1758" t="str">
        <f>F59</f>
        <v>——</v>
      </c>
    </row>
    <row r="56" spans="1:35" ht="24.75">
      <c r="A56" s="3097" t="s">
        <v>2227</v>
      </c>
      <c r="B56" s="3098"/>
      <c r="C56" s="3098"/>
      <c r="D56" s="185">
        <f ca="1">IF(H56="个人住宅",D57,D58)</f>
        <v>4128</v>
      </c>
      <c r="E56" s="11" t="s">
        <v>2228</v>
      </c>
      <c r="F56" s="184" t="str">
        <f>IF(H56="正常",F58,"免征")</f>
        <v>——</v>
      </c>
      <c r="G56" s="2491" t="s">
        <v>2229</v>
      </c>
      <c r="H56" s="2492" t="s">
        <v>2226</v>
      </c>
      <c r="I56" s="2493"/>
      <c r="J56" s="1812" t="str">
        <f>IF(项目基本情况!K6="上海银行",IF(J55="",4,J55+1),"")</f>
        <v/>
      </c>
      <c r="K56" s="3171" t="str">
        <f>IF(项目基本情况!K6="上海银行","其他处置费用","")</f>
        <v/>
      </c>
      <c r="L56" s="3172"/>
      <c r="M56" s="1754" t="str">
        <f>IF(项目基本情况!K6="上海银行",M69,"")</f>
        <v/>
      </c>
      <c r="N56" s="3174" t="str">
        <f>IF(项目基本情况!K6="上海银行","包含处置中涉及的律师、诉讼、拍卖、评估等费用","")</f>
        <v/>
      </c>
      <c r="O56" s="3175"/>
    </row>
    <row r="57" spans="1:35" ht="12.75">
      <c r="A57" s="183" t="s">
        <v>2202</v>
      </c>
      <c r="B57" s="3113" t="s">
        <v>2230</v>
      </c>
      <c r="C57" s="3122"/>
      <c r="D57" s="187">
        <v>0</v>
      </c>
      <c r="E57" s="23" t="s">
        <v>2204</v>
      </c>
      <c r="F57" s="155"/>
      <c r="G57" s="2489"/>
      <c r="H57" s="2493"/>
      <c r="I57" s="2493"/>
      <c r="J57" s="3148">
        <f>IF(AND(J55="",J56=""),4,IF(项目基本情况!K6="上海银行",结果表!J56+1,结果表!J55+1))</f>
        <v>4</v>
      </c>
      <c r="K57" s="3148" t="s">
        <v>2231</v>
      </c>
      <c r="L57" s="2494" t="s">
        <v>2232</v>
      </c>
      <c r="M57" s="1759"/>
      <c r="N57" s="1760">
        <f ca="1">SUMIF(M52:M56,"&lt;9e307")</f>
        <v>4132</v>
      </c>
      <c r="O57" s="2495"/>
      <c r="P57" s="1753" t="e">
        <f ca="1">N57/M49</f>
        <v>#VALUE!</v>
      </c>
    </row>
    <row r="58" spans="1:35" ht="24.75">
      <c r="A58" s="183" t="s">
        <v>2213</v>
      </c>
      <c r="B58" s="3113" t="s">
        <v>2233</v>
      </c>
      <c r="C58" s="3114"/>
      <c r="D58" s="185">
        <f ca="1">IF(H58="转让取得",C81,C97)</f>
        <v>4128</v>
      </c>
      <c r="E58" s="11" t="s">
        <v>2228</v>
      </c>
      <c r="F58" s="24" t="s">
        <v>34</v>
      </c>
      <c r="G58" s="2489"/>
      <c r="H58" s="2492" t="s">
        <v>2234</v>
      </c>
      <c r="I58" s="2493"/>
      <c r="J58" s="3148"/>
      <c r="K58" s="3148"/>
      <c r="L58" s="2494" t="s">
        <v>2235</v>
      </c>
      <c r="M58" s="1761"/>
      <c r="N58" s="2496" t="str">
        <f ca="1">NUMBERSTRING(INT(N57*10000),2)&amp;"元整"</f>
        <v>肆仟壹佰叁拾贰万元整</v>
      </c>
      <c r="O58" s="2497"/>
    </row>
    <row r="59" spans="1:35" ht="24.75" thickBot="1">
      <c r="A59" s="3151" t="s">
        <v>2236</v>
      </c>
      <c r="B59" s="3152"/>
      <c r="C59" s="3152"/>
      <c r="D59" s="188" t="str">
        <f>IF(H59="非个人房产","——",IF(H59="个人住宅",0,ROUND(D45*I59,0)))</f>
        <v>——</v>
      </c>
      <c r="E59" s="189" t="str">
        <f>IF(H59="非个人房产","——","销售额×税（费）率")</f>
        <v>——</v>
      </c>
      <c r="F59" s="190" t="str">
        <f>IF(H59="非个人房产","——",IF(H59="个人住宅","免征",I59))</f>
        <v>——</v>
      </c>
      <c r="G59" s="2498" t="s">
        <v>2229</v>
      </c>
      <c r="H59" s="2492" t="s">
        <v>2237</v>
      </c>
      <c r="I59" s="191">
        <v>0.01</v>
      </c>
      <c r="J59" s="3149">
        <f>J57+1</f>
        <v>5</v>
      </c>
      <c r="K59" s="3148" t="s">
        <v>2238</v>
      </c>
      <c r="L59" s="1812" t="s">
        <v>2232</v>
      </c>
      <c r="M59" s="1762"/>
      <c r="N59" s="1763" t="e">
        <f ca="1">M49-N57</f>
        <v>#VALUE!</v>
      </c>
      <c r="O59" s="2499"/>
    </row>
    <row r="60" spans="1:35" ht="12" customHeight="1">
      <c r="A60" s="2500"/>
      <c r="B60" s="2422"/>
      <c r="C60" s="2422"/>
      <c r="D60" s="2422"/>
      <c r="E60" s="2170"/>
      <c r="F60" s="2493"/>
      <c r="G60" s="2493"/>
      <c r="H60" s="2501"/>
      <c r="I60" s="138"/>
      <c r="J60" s="3150"/>
      <c r="K60" s="3148"/>
      <c r="L60" s="2494" t="s">
        <v>2235</v>
      </c>
      <c r="M60" s="1761"/>
      <c r="N60" s="2496" t="e">
        <f ca="1">NUMBERSTRING(INT(N59*10000),2)&amp;"元整"</f>
        <v>#VALUE!</v>
      </c>
      <c r="O60" s="2497"/>
    </row>
    <row r="61" spans="1:35" ht="13.5" thickBot="1">
      <c r="A61" s="3095" t="s">
        <v>2239</v>
      </c>
      <c r="B61" s="3095"/>
      <c r="C61" s="3095"/>
      <c r="D61" s="3095"/>
      <c r="E61" s="3095"/>
      <c r="F61" s="2493"/>
      <c r="G61" s="2493"/>
      <c r="H61" s="2501"/>
      <c r="I61" s="138"/>
      <c r="J61" s="1812">
        <f>J59+1</f>
        <v>6</v>
      </c>
      <c r="K61" s="3148" t="s">
        <v>2240</v>
      </c>
      <c r="L61" s="3148"/>
      <c r="M61" s="1764"/>
      <c r="N61" s="1765" t="e">
        <f ca="1">ROUND(N59*10000/'数据-汇总表'!E3,0)</f>
        <v>#VALUE!</v>
      </c>
      <c r="O61" s="2502"/>
    </row>
    <row r="62" spans="1:35" ht="12.75">
      <c r="A62" s="3111" t="s">
        <v>2241</v>
      </c>
      <c r="B62" s="3112"/>
      <c r="C62" s="1804"/>
      <c r="D62" s="1804" t="s">
        <v>2242</v>
      </c>
      <c r="E62" s="192" t="s">
        <v>2243</v>
      </c>
      <c r="F62" s="2493"/>
      <c r="G62" s="2493"/>
      <c r="H62" s="2501"/>
      <c r="I62" s="138"/>
    </row>
    <row r="63" spans="1:35" ht="12.75">
      <c r="A63" s="203" t="s">
        <v>775</v>
      </c>
      <c r="B63" s="193" t="s">
        <v>2244</v>
      </c>
      <c r="C63" s="194">
        <f ca="1">ROUND((C64+C65)/(1+'数据-取费表'!C42),0)</f>
        <v>6947</v>
      </c>
      <c r="D63" s="195"/>
      <c r="E63" s="196"/>
      <c r="F63" s="2493"/>
      <c r="G63" s="2493"/>
      <c r="H63" s="2501"/>
      <c r="I63" s="138"/>
      <c r="J63" s="3173" t="s">
        <v>2245</v>
      </c>
      <c r="K63" s="2503" t="s">
        <v>2246</v>
      </c>
      <c r="L63" s="1752" t="e">
        <f>IF(M49&gt;10000,M49*0.5%,IF(AND(M49&gt;1000,M49&lt;=10000),M49*1%,IF(AND(M49&gt;100,M49&lt;=1000),M49*3%,IF(AND(M49&gt;10,M49&lt;=100),M49*5%,M49*8%))))</f>
        <v>#VALUE!</v>
      </c>
      <c r="M63" s="24" t="e">
        <f>ROUND(L63,1)</f>
        <v>#VALUE!</v>
      </c>
      <c r="Z63" s="2427"/>
      <c r="AI63" s="2428"/>
    </row>
    <row r="64" spans="1:35" ht="14.25" customHeight="1">
      <c r="A64" s="197" t="s">
        <v>770</v>
      </c>
      <c r="B64" s="198" t="s">
        <v>2247</v>
      </c>
      <c r="C64" s="199">
        <f ca="1">D45</f>
        <v>7294</v>
      </c>
      <c r="D64" s="200" t="s">
        <v>32</v>
      </c>
      <c r="E64" s="201"/>
      <c r="F64" s="2493"/>
      <c r="G64" s="2493"/>
      <c r="H64" s="2501"/>
      <c r="I64" s="138"/>
      <c r="J64" s="3173"/>
      <c r="K64" s="2503" t="s">
        <v>2248</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2249</v>
      </c>
      <c r="Z64" s="2427"/>
      <c r="AI64" s="2428"/>
    </row>
    <row r="65" spans="1:35" ht="14.25" customHeight="1">
      <c r="A65" s="197" t="s">
        <v>771</v>
      </c>
      <c r="B65" s="198" t="s">
        <v>2250</v>
      </c>
      <c r="C65" s="202"/>
      <c r="D65" s="200"/>
      <c r="E65" s="201"/>
      <c r="F65" s="2493"/>
      <c r="G65" s="2493"/>
      <c r="H65" s="2501"/>
      <c r="I65" s="138"/>
      <c r="J65" s="3173"/>
      <c r="K65" s="2503" t="s">
        <v>2251</v>
      </c>
      <c r="L65" s="1752" t="e">
        <f>IF(M49&gt;1000,M49*0.1%,IF(AND(M49&gt;500,M49&lt;=1000),M49*0.5%,IF(AND(M49&gt;50,M49&lt;=500),M49*1%,IF(AND(M49&gt;1,M49&lt;=50),M49*1.5%))))</f>
        <v>#VALUE!</v>
      </c>
      <c r="M65" s="24" t="e">
        <f t="shared" si="1"/>
        <v>#VALUE!</v>
      </c>
      <c r="N65" s="138" t="s">
        <v>2249</v>
      </c>
      <c r="Z65" s="2427"/>
      <c r="AI65" s="2428"/>
    </row>
    <row r="66" spans="1:35" ht="14.25" customHeight="1">
      <c r="A66" s="203" t="s">
        <v>772</v>
      </c>
      <c r="B66" s="204" t="s">
        <v>2252</v>
      </c>
      <c r="C66" s="205"/>
      <c r="D66" s="206" t="s">
        <v>32</v>
      </c>
      <c r="E66" s="1776" t="s">
        <v>1370</v>
      </c>
      <c r="F66" s="2493"/>
      <c r="G66" s="2493"/>
      <c r="H66" s="2501"/>
      <c r="I66" s="138"/>
      <c r="J66" s="3173"/>
      <c r="K66" s="2503" t="s">
        <v>2253</v>
      </c>
      <c r="L66" s="1752" t="e">
        <f>M49*0.5%</f>
        <v>#VALUE!</v>
      </c>
      <c r="M66" s="24" t="e">
        <f>IF(L66&gt;0.5,0.5,ROUND(L66,0))</f>
        <v>#VALUE!</v>
      </c>
      <c r="N66" s="138" t="s">
        <v>2254</v>
      </c>
      <c r="Z66" s="2427"/>
      <c r="AI66" s="2428"/>
    </row>
    <row r="67" spans="1:35" ht="14.25" customHeight="1">
      <c r="A67" s="203" t="s">
        <v>773</v>
      </c>
      <c r="B67" s="204" t="s">
        <v>2255</v>
      </c>
      <c r="C67" s="207">
        <f ca="1">C63-C66</f>
        <v>6947</v>
      </c>
      <c r="D67" s="200" t="s">
        <v>32</v>
      </c>
      <c r="E67" s="201"/>
      <c r="F67" s="2493"/>
      <c r="G67" s="2493"/>
      <c r="H67" s="2501"/>
      <c r="I67" s="138"/>
      <c r="J67" s="3173"/>
      <c r="K67" s="2503" t="s">
        <v>2256</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8" t="s">
        <v>774</v>
      </c>
      <c r="B68" s="209" t="s">
        <v>2257</v>
      </c>
      <c r="C68" s="210">
        <f ca="1">IF(C67&lt;=0,0,ROUND(C67*D68,0))</f>
        <v>389</v>
      </c>
      <c r="D68" s="211">
        <f>'数据-取费表'!B41</f>
        <v>5.6000000000000001E-2</v>
      </c>
      <c r="E68" s="212"/>
      <c r="F68" s="2493"/>
      <c r="G68" s="2493"/>
      <c r="H68" s="2501"/>
      <c r="I68" s="138"/>
      <c r="J68" s="3173"/>
      <c r="K68" s="2503" t="s">
        <v>2258</v>
      </c>
      <c r="L68" s="1752"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70"/>
      <c r="G69" s="2170"/>
      <c r="H69" s="2169"/>
      <c r="I69" s="2422"/>
      <c r="J69" s="3173"/>
      <c r="K69" s="2503" t="s">
        <v>2259</v>
      </c>
      <c r="L69" s="2509"/>
      <c r="M69" s="24" t="e">
        <f>ROUND(SUM(M63:M68),0)</f>
        <v>#VALUE!</v>
      </c>
      <c r="N69" s="1753" t="e">
        <f>M69/M49</f>
        <v>#VALUE!</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32" t="s">
        <v>2260</v>
      </c>
      <c r="B70" s="3133"/>
      <c r="C70" s="3133"/>
      <c r="D70" s="3133"/>
      <c r="E70" s="3133"/>
      <c r="F70" s="3133"/>
      <c r="G70" s="3133"/>
      <c r="H70" s="3133"/>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11" t="s">
        <v>2241</v>
      </c>
      <c r="B71" s="3112"/>
      <c r="C71" s="1804"/>
      <c r="D71" s="1804" t="s">
        <v>2242</v>
      </c>
      <c r="E71" s="213" t="s">
        <v>2243</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2261</v>
      </c>
      <c r="C72" s="207">
        <f ca="1">ROUND(D45/(1+'数据-取费表'!C42),0)</f>
        <v>6947</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2262</v>
      </c>
      <c r="C73" s="207">
        <f ca="1">C74+C78</f>
        <v>42</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2263</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2264</v>
      </c>
      <c r="C75" s="218"/>
      <c r="D75" s="200" t="s">
        <v>32</v>
      </c>
      <c r="E75" s="219" t="s">
        <v>2265</v>
      </c>
      <c r="F75" s="2515" t="s">
        <v>2266</v>
      </c>
      <c r="G75" s="219" t="s">
        <v>2267</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2268</v>
      </c>
      <c r="C76" s="200">
        <f>IF(F75="购房发票",ROUND(C75*H75*D76,0),0)</f>
        <v>0</v>
      </c>
      <c r="D76" s="222">
        <v>0.05</v>
      </c>
      <c r="E76" s="3106" t="s">
        <v>2269</v>
      </c>
      <c r="F76" s="3083"/>
      <c r="G76" s="3083"/>
      <c r="H76" s="3131"/>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7" t="s">
        <v>2272</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2273</v>
      </c>
      <c r="C78" s="225">
        <f ca="1">ROUND(D45*D78/(1+'数据-取费表'!C42),0)</f>
        <v>42</v>
      </c>
      <c r="D78" s="226">
        <f>'数据-取费表'!B43</f>
        <v>6.000000000000001E-3</v>
      </c>
      <c r="E78" s="3092" t="s">
        <v>2274</v>
      </c>
      <c r="F78" s="3093"/>
      <c r="G78" s="3093"/>
      <c r="H78" s="3102"/>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2275</v>
      </c>
      <c r="C79" s="207">
        <f ca="1">C72-C73</f>
        <v>6905</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2276</v>
      </c>
      <c r="C80" s="227">
        <f ca="1">IF(C79&lt;=0,0,C79/C73)</f>
        <v>164.4047619047619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2277</v>
      </c>
      <c r="C81" s="228">
        <f ca="1">ROUND(IF(C79&lt;=0,0,IF(C80&gt;=200%,C79*60%-C73*35%,IF(C80&gt;=100%,C79*50%-C73*15%,IF(C80&gt;=50%,C79*40%-C73*5%,IF(C80&lt;50%,C79*30%,0))))),0)</f>
        <v>4128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32" t="s">
        <v>2278</v>
      </c>
      <c r="B83" s="3133"/>
      <c r="C83" s="3133"/>
      <c r="D83" s="3133"/>
      <c r="E83" s="3133"/>
      <c r="F83" s="3133"/>
      <c r="G83" s="3133"/>
      <c r="H83" s="3133"/>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11" t="s">
        <v>2241</v>
      </c>
      <c r="B84" s="3112"/>
      <c r="C84" s="1804"/>
      <c r="D84" s="1804" t="s">
        <v>2242</v>
      </c>
      <c r="E84" s="213" t="s">
        <v>2243</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2261</v>
      </c>
      <c r="C85" s="207">
        <f ca="1">ROUND(D45/(1+'数据-取费表'!C42),0)</f>
        <v>6947</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2262</v>
      </c>
      <c r="C86" s="207">
        <f ca="1">IF(H88="仅含出让金",C87+C90+C91+C92+C93+C94,C87+C91+C92+C93+C94)</f>
        <v>42</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2279</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2280</v>
      </c>
      <c r="C88" s="236"/>
      <c r="D88" s="226"/>
      <c r="E88" s="237" t="s">
        <v>2281</v>
      </c>
      <c r="F88" s="1800"/>
      <c r="G88" s="238" t="s">
        <v>2282</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2270</v>
      </c>
      <c r="C89" s="225">
        <f>ROUND(C88*D89,0)</f>
        <v>0</v>
      </c>
      <c r="D89" s="226">
        <f>'数据-取费表'!B48+'数据-取费表'!B49</f>
        <v>3.0499999999999999E-2</v>
      </c>
      <c r="E89" s="237" t="s">
        <v>2283</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2284</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2285</v>
      </c>
      <c r="B91" s="198" t="s">
        <v>2286</v>
      </c>
      <c r="C91" s="225">
        <f>IF(H91="——",成本法!C33,I91)</f>
        <v>0</v>
      </c>
      <c r="D91" s="226"/>
      <c r="E91" s="3092" t="s">
        <v>2287</v>
      </c>
      <c r="F91" s="3093"/>
      <c r="G91" s="3093"/>
      <c r="H91" s="2522" t="s">
        <v>2288</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2289</v>
      </c>
      <c r="B92" s="198" t="s">
        <v>2290</v>
      </c>
      <c r="C92" s="225">
        <f>ROUND((C87+C90+C91)*D92,0)</f>
        <v>0</v>
      </c>
      <c r="D92" s="226">
        <v>0.1</v>
      </c>
      <c r="E92" s="3092" t="s">
        <v>2291</v>
      </c>
      <c r="F92" s="3093"/>
      <c r="G92" s="3093"/>
      <c r="H92" s="3102"/>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2292</v>
      </c>
      <c r="B93" s="198" t="s">
        <v>2273</v>
      </c>
      <c r="C93" s="225">
        <f ca="1">ROUND(D45*D93/(1+'数据-取费表'!C42),0)</f>
        <v>42</v>
      </c>
      <c r="D93" s="226">
        <f>'数据-取费表'!B43</f>
        <v>6.000000000000001E-3</v>
      </c>
      <c r="E93" s="3092" t="s">
        <v>2274</v>
      </c>
      <c r="F93" s="3093"/>
      <c r="G93" s="3093"/>
      <c r="H93" s="3102"/>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2293</v>
      </c>
      <c r="B94" s="198" t="s">
        <v>2294</v>
      </c>
      <c r="C94" s="236">
        <f>ROUND((C87+C90+C91)*D94,0)</f>
        <v>0</v>
      </c>
      <c r="D94" s="226">
        <v>0.2</v>
      </c>
      <c r="E94" s="3103" t="s">
        <v>2295</v>
      </c>
      <c r="F94" s="3104"/>
      <c r="G94" s="3104"/>
      <c r="H94" s="3105"/>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2275</v>
      </c>
      <c r="C95" s="207">
        <f ca="1">ROUND(C85-C86,0)</f>
        <v>6905</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2276</v>
      </c>
      <c r="C96" s="227">
        <f ca="1">IF(C95&lt;=0,0,C95/C86)</f>
        <v>164.4047619047619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2277</v>
      </c>
      <c r="C97" s="228">
        <f ca="1">ROUND(IF(C95&lt;=0,0,IF(C96&gt;=200%,C95*60%-C86*35%,IF(C96&gt;=100%,C95*50%-C86*15%,IF(C96&gt;=50%,C95*40%-C86*5%,IF(C96&lt;50%,C95*30%,0))))),0)</f>
        <v>4128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2296</v>
      </c>
      <c r="B99" s="2422"/>
      <c r="C99" s="2422"/>
      <c r="D99" s="2422"/>
      <c r="E99" s="2170"/>
      <c r="F99" s="2170"/>
      <c r="G99" s="2170"/>
      <c r="H99" s="2169"/>
      <c r="I99" s="138"/>
    </row>
    <row r="100" spans="1:35" ht="18.75" customHeight="1">
      <c r="A100" s="3077" t="s">
        <v>2297</v>
      </c>
      <c r="B100" s="3078"/>
      <c r="C100" s="3078"/>
      <c r="D100" s="3094"/>
      <c r="E100" s="3078" t="s">
        <v>2298</v>
      </c>
      <c r="F100" s="3078"/>
      <c r="G100" s="3078"/>
      <c r="H100" s="3094"/>
      <c r="I100" s="138"/>
    </row>
    <row r="101" spans="1:35" ht="18.75" customHeight="1">
      <c r="A101" s="3156" t="s">
        <v>2299</v>
      </c>
      <c r="B101" s="3157"/>
      <c r="C101" s="736" t="str">
        <f>C4</f>
        <v>收益法 (元)</v>
      </c>
      <c r="D101" s="737" t="str">
        <f>D4</f>
        <v>成本法 (元)</v>
      </c>
      <c r="E101" s="3170" t="s">
        <v>2300</v>
      </c>
      <c r="F101" s="3124"/>
      <c r="G101" s="2524" t="s">
        <v>2301</v>
      </c>
      <c r="H101" s="1048">
        <f ca="1">H118</f>
        <v>7294</v>
      </c>
      <c r="I101" s="138"/>
    </row>
    <row r="102" spans="1:35" ht="18.75" customHeight="1">
      <c r="A102" s="3126" t="s">
        <v>2302</v>
      </c>
      <c r="B102" s="2524" t="s">
        <v>2301</v>
      </c>
      <c r="C102" s="736">
        <f ca="1">C19</f>
        <v>4651</v>
      </c>
      <c r="D102" s="737">
        <f ca="1">D19</f>
        <v>7955</v>
      </c>
      <c r="E102" s="3170"/>
      <c r="F102" s="3124"/>
      <c r="G102" s="2524" t="s">
        <v>2303</v>
      </c>
      <c r="H102" s="371">
        <f ca="1">I118</f>
        <v>23556</v>
      </c>
      <c r="I102" s="138"/>
    </row>
    <row r="103" spans="1:35" ht="42.75" customHeight="1">
      <c r="A103" s="3126"/>
      <c r="B103" s="2524" t="s">
        <v>2303</v>
      </c>
      <c r="C103" s="738">
        <f ca="1">C20</f>
        <v>15021</v>
      </c>
      <c r="D103" s="739">
        <f ca="1">D20</f>
        <v>25691</v>
      </c>
      <c r="E103" s="3165" t="s">
        <v>2304</v>
      </c>
      <c r="F103" s="3166"/>
      <c r="G103" s="2525" t="s">
        <v>2305</v>
      </c>
      <c r="H103" s="1048">
        <f>IF(D36="正常操作",H104+H105+H106,H105+H106)</f>
        <v>0</v>
      </c>
      <c r="I103" s="138"/>
    </row>
    <row r="104" spans="1:35" ht="18.75" customHeight="1">
      <c r="A104" s="3126" t="s">
        <v>2306</v>
      </c>
      <c r="B104" s="2526" t="s">
        <v>2301</v>
      </c>
      <c r="C104" s="740">
        <f ca="1">H118</f>
        <v>7294</v>
      </c>
      <c r="D104" s="741"/>
      <c r="E104" s="2270" t="s">
        <v>2307</v>
      </c>
      <c r="F104" s="2262"/>
      <c r="G104" s="2525" t="s">
        <v>2305</v>
      </c>
      <c r="H104" s="1049">
        <f>IF(D36="同一抵押权人同一抵押物续贷",C36&amp;"（未扣减，详见特别提示）",C36)</f>
        <v>0</v>
      </c>
      <c r="I104" s="138"/>
    </row>
    <row r="105" spans="1:35" ht="18.75" customHeight="1" thickBot="1">
      <c r="A105" s="3127"/>
      <c r="B105" s="2527" t="s">
        <v>2303</v>
      </c>
      <c r="C105" s="742">
        <f ca="1">I118</f>
        <v>23556</v>
      </c>
      <c r="D105" s="743"/>
      <c r="E105" s="2270" t="s">
        <v>2308</v>
      </c>
      <c r="F105" s="2262"/>
      <c r="G105" s="2525" t="s">
        <v>2305</v>
      </c>
      <c r="H105" s="1049">
        <f>C37</f>
        <v>0</v>
      </c>
      <c r="I105" s="138"/>
    </row>
    <row r="106" spans="1:35" ht="18.75" customHeight="1">
      <c r="A106" s="2422" t="s">
        <v>2309</v>
      </c>
      <c r="B106" s="2422"/>
      <c r="C106" s="2422"/>
      <c r="D106" s="2422"/>
      <c r="E106" s="2528" t="s">
        <v>2310</v>
      </c>
      <c r="F106" s="2262"/>
      <c r="G106" s="2525" t="s">
        <v>2305</v>
      </c>
      <c r="H106" s="1049">
        <f>C38</f>
        <v>0</v>
      </c>
      <c r="I106" s="138"/>
    </row>
    <row r="107" spans="1:35" ht="18.75" customHeight="1">
      <c r="A107" s="138"/>
      <c r="B107" s="138"/>
      <c r="C107" s="138"/>
      <c r="D107" s="138"/>
      <c r="E107" s="3123" t="str">
        <f>IF(项目基本情况!E8="已注销","——","3.房地产抵押价值")</f>
        <v>3.房地产抵押价值</v>
      </c>
      <c r="F107" s="3124"/>
      <c r="G107" s="2524" t="s">
        <v>2301</v>
      </c>
      <c r="H107" s="1048">
        <f ca="1">IF(E107="——","——",H101-H103)</f>
        <v>7294</v>
      </c>
      <c r="I107" s="138"/>
    </row>
    <row r="108" spans="1:35" ht="18.75" customHeight="1">
      <c r="A108" s="138"/>
      <c r="B108" s="138"/>
      <c r="C108" s="138"/>
      <c r="D108" s="138"/>
      <c r="E108" s="3123"/>
      <c r="F108" s="3124"/>
      <c r="G108" s="2524" t="s">
        <v>2303</v>
      </c>
      <c r="H108" s="371">
        <f ca="1">ROUND(H107*10000/'数据-汇总表'!E3,0)</f>
        <v>23556</v>
      </c>
      <c r="I108" s="138"/>
    </row>
    <row r="109" spans="1:35" ht="18.75" customHeight="1">
      <c r="A109" s="138"/>
      <c r="B109" s="138"/>
      <c r="C109" s="138"/>
      <c r="D109" s="138"/>
      <c r="E109" s="3123" t="str">
        <f>IF(项目基本情况!E8="已注销及未注销","4.抵押担保权已注销时的房地产抵押价值",IF(项目基本情况!E8="已注销","3.抵押担保权已注销时的房地产抵押价值","——"))</f>
        <v>——</v>
      </c>
      <c r="F109" s="3124"/>
      <c r="G109" s="2524" t="s">
        <v>2301</v>
      </c>
      <c r="H109" s="348" t="str">
        <f>IF(E109="——","——",H101-H105-H106)</f>
        <v>——</v>
      </c>
      <c r="I109" s="138"/>
    </row>
    <row r="110" spans="1:35" ht="18.75" customHeight="1">
      <c r="A110" s="138"/>
      <c r="B110" s="138"/>
      <c r="C110" s="138"/>
      <c r="D110" s="138"/>
      <c r="E110" s="3123"/>
      <c r="F110" s="3124"/>
      <c r="G110" s="2524" t="s">
        <v>2303</v>
      </c>
      <c r="H110" s="371" t="str">
        <f>IF(H109="——","——",ROUND(H109*10000/'数据-汇总表'!E3,0))</f>
        <v>——</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24" t="s">
        <v>2301</v>
      </c>
      <c r="H111" s="1048" t="str">
        <f>IF(E111="——","——",N59)</f>
        <v>——</v>
      </c>
      <c r="I111" s="138"/>
    </row>
    <row r="112" spans="1:35" ht="18.75" customHeight="1" thickBot="1">
      <c r="A112" s="138"/>
      <c r="B112" s="138"/>
      <c r="C112" s="138"/>
      <c r="D112" s="138"/>
      <c r="E112" s="3160"/>
      <c r="F112" s="3161"/>
      <c r="G112" s="2529" t="s">
        <v>2303</v>
      </c>
      <c r="H112" s="790" t="str">
        <f>IF(E111="——","——",N61)</f>
        <v>——</v>
      </c>
      <c r="I112" s="138"/>
    </row>
    <row r="113" spans="1:11" ht="18.75" customHeight="1">
      <c r="A113" s="138"/>
      <c r="B113" s="138"/>
      <c r="C113" s="138"/>
      <c r="D113" s="138"/>
      <c r="E113" s="3128" t="s">
        <v>2309</v>
      </c>
      <c r="F113" s="3128"/>
      <c r="G113" s="3128"/>
      <c r="H113" s="3128"/>
      <c r="I113" s="138"/>
    </row>
    <row r="114" spans="1:11" ht="3.75" customHeight="1">
      <c r="A114" s="2422"/>
      <c r="B114" s="2422"/>
      <c r="C114" s="2422"/>
      <c r="D114" s="2422"/>
      <c r="E114" s="2500"/>
      <c r="F114" s="2500"/>
      <c r="G114" s="2500"/>
      <c r="H114" s="2500"/>
      <c r="I114" s="2422"/>
    </row>
    <row r="115" spans="1:11" ht="18.75" customHeight="1">
      <c r="A115" s="3141" t="s">
        <v>2311</v>
      </c>
      <c r="B115" s="3142"/>
      <c r="C115" s="3142"/>
      <c r="D115" s="3142"/>
      <c r="E115" s="3142"/>
      <c r="F115" s="3142"/>
      <c r="G115" s="3142"/>
      <c r="H115" s="3142"/>
      <c r="I115" s="3143"/>
    </row>
    <row r="116" spans="1:11" ht="27" customHeight="1">
      <c r="A116" s="3034" t="s">
        <v>2312</v>
      </c>
      <c r="B116" s="3129" t="s">
        <v>3094</v>
      </c>
      <c r="C116" s="3129" t="s">
        <v>2313</v>
      </c>
      <c r="D116" s="3145" t="s">
        <v>2314</v>
      </c>
      <c r="E116" s="3146"/>
      <c r="F116" s="3137" t="s">
        <v>2315</v>
      </c>
      <c r="G116" s="3137"/>
      <c r="H116" s="3034" t="s">
        <v>2316</v>
      </c>
      <c r="I116" s="3034"/>
    </row>
    <row r="117" spans="1:11" ht="18.75" customHeight="1">
      <c r="A117" s="3034"/>
      <c r="B117" s="3130"/>
      <c r="C117" s="3130"/>
      <c r="D117" s="1798" t="s">
        <v>2317</v>
      </c>
      <c r="E117" s="1798" t="s">
        <v>2318</v>
      </c>
      <c r="F117" s="1798" t="s">
        <v>2317</v>
      </c>
      <c r="G117" s="1798" t="s">
        <v>2319</v>
      </c>
      <c r="H117" s="1798" t="s">
        <v>2317</v>
      </c>
      <c r="I117" s="1798" t="s">
        <v>2319</v>
      </c>
    </row>
    <row r="118" spans="1:11" ht="24.75" customHeight="1">
      <c r="A118" s="2530" t="str">
        <f>项目基本情况!S2</f>
        <v>北京市石景山区西黄新村北里甲11号楼房地产</v>
      </c>
      <c r="B118" s="1798">
        <f>M18</f>
        <v>3096.45</v>
      </c>
      <c r="C118" s="1798">
        <f>M19</f>
        <v>478.53</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7294</v>
      </c>
      <c r="I118" s="1798">
        <f ca="1">ROUND(IF(D32="楼面单价",C32,H118*10000/B118),0)</f>
        <v>23556</v>
      </c>
    </row>
    <row r="119" spans="1:11" ht="18.75" customHeight="1">
      <c r="A119" s="3034" t="s">
        <v>2320</v>
      </c>
      <c r="B119" s="3034"/>
      <c r="C119" s="3034"/>
      <c r="D119" s="3134" t="e">
        <f ca="1">NUMBERSTRING(INT(D118*10000),2)&amp;"元整"</f>
        <v>#REF!</v>
      </c>
      <c r="E119" s="3136"/>
      <c r="F119" s="3134" t="e">
        <f ca="1">NUMBERSTRING(INT(F118*10000),2)&amp;"元整"</f>
        <v>#REF!</v>
      </c>
      <c r="G119" s="3136"/>
      <c r="H119" s="3134" t="str">
        <f ca="1">NUMBERSTRING(INT(H118*10000),2)&amp;"元整"</f>
        <v>柒仟贰佰玖拾肆万元整</v>
      </c>
      <c r="I119" s="3136"/>
    </row>
    <row r="120" spans="1:11" ht="18.75" customHeight="1">
      <c r="A120" s="3162" t="str">
        <f>IF(项目基本情况!B9="房地产市场价值","",MID(E103,3,LEN(E103)-2))</f>
        <v/>
      </c>
      <c r="B120" s="3163"/>
      <c r="C120" s="3164"/>
      <c r="D120" s="3162">
        <f>H103</f>
        <v>0</v>
      </c>
      <c r="E120" s="3163"/>
      <c r="F120" s="3163"/>
      <c r="G120" s="3163"/>
      <c r="H120" s="3163"/>
      <c r="I120" s="3164"/>
      <c r="K120" s="2427" t="str">
        <f>IF(D120=0,"故，本次评估不存在"&amp;A120,"故，本次评估"&amp;A120&amp;"为人民币"&amp;D120&amp;"万元整。")</f>
        <v>故，本次评估不存在</v>
      </c>
    </row>
    <row r="121" spans="1:11" ht="18.75" customHeight="1">
      <c r="A121" s="3138" t="s">
        <v>2320</v>
      </c>
      <c r="B121" s="3139"/>
      <c r="C121" s="3140"/>
      <c r="D121" s="3134" t="str">
        <f>IF(D120=0,"零元整",NUMBERSTRING(INT(D120*10000),2)&amp;"元整")</f>
        <v>零元整</v>
      </c>
      <c r="E121" s="3135"/>
      <c r="F121" s="3135"/>
      <c r="G121" s="3135"/>
      <c r="H121" s="3135"/>
      <c r="I121" s="3136"/>
    </row>
    <row r="122" spans="1:11" ht="18.75" customHeight="1">
      <c r="A122" s="3125" t="str">
        <f>IF(项目基本情况!B9="房地产市场价值","",MID(E107,3,LEN(E107)-2))</f>
        <v/>
      </c>
      <c r="B122" s="3125"/>
      <c r="C122" s="3125"/>
      <c r="D122" s="3162">
        <f ca="1">H107</f>
        <v>7294</v>
      </c>
      <c r="E122" s="3163"/>
      <c r="F122" s="3163"/>
      <c r="G122" s="3163"/>
      <c r="H122" s="3163"/>
      <c r="I122" s="3164"/>
    </row>
    <row r="123" spans="1:11" ht="18.75" customHeight="1">
      <c r="A123" s="3034" t="s">
        <v>2320</v>
      </c>
      <c r="B123" s="3034"/>
      <c r="C123" s="3034"/>
      <c r="D123" s="3134" t="str">
        <f ca="1">NUMBERSTRING(INT(D122*10000),2)&amp;"元整"</f>
        <v>柒仟贰佰玖拾肆万元整</v>
      </c>
      <c r="E123" s="3135"/>
      <c r="F123" s="3135"/>
      <c r="G123" s="3135"/>
      <c r="H123" s="3135"/>
      <c r="I123" s="3136"/>
    </row>
    <row r="124" spans="1:11" ht="18.75" customHeight="1">
      <c r="A124" s="3125" t="str">
        <f>IF(项目基本情况!B9="房地产市场价值","",MID(E109,3,LEN(E109)-2))</f>
        <v/>
      </c>
      <c r="B124" s="3125"/>
      <c r="C124" s="3125"/>
      <c r="D124" s="3162" t="str">
        <f>H109</f>
        <v>——</v>
      </c>
      <c r="E124" s="3163"/>
      <c r="F124" s="3163"/>
      <c r="G124" s="3163"/>
      <c r="H124" s="3163"/>
      <c r="I124" s="3164"/>
    </row>
    <row r="125" spans="1:11" ht="18.75" customHeight="1">
      <c r="A125" s="3034" t="s">
        <v>2320</v>
      </c>
      <c r="B125" s="3034"/>
      <c r="C125" s="3034"/>
      <c r="D125" s="3134" t="e">
        <f>NUMBERSTRING(INT(D124*10000),2)&amp;"元整"</f>
        <v>#VALUE!</v>
      </c>
      <c r="E125" s="3135"/>
      <c r="F125" s="3135"/>
      <c r="G125" s="3135"/>
      <c r="H125" s="3135"/>
      <c r="I125" s="3136"/>
    </row>
    <row r="126" spans="1:11" ht="18.75" customHeight="1">
      <c r="A126" s="3125" t="str">
        <f>IF(项目基本情况!B9="房地产市场价值","",MID(E111,3,LEN(E111)-2))</f>
        <v/>
      </c>
      <c r="B126" s="3125"/>
      <c r="C126" s="3125"/>
      <c r="D126" s="3162" t="str">
        <f>H111</f>
        <v>——</v>
      </c>
      <c r="E126" s="3163"/>
      <c r="F126" s="3163"/>
      <c r="G126" s="3163"/>
      <c r="H126" s="3163"/>
      <c r="I126" s="3164"/>
    </row>
    <row r="127" spans="1:11" ht="18.75" customHeight="1">
      <c r="A127" s="3034" t="s">
        <v>2320</v>
      </c>
      <c r="B127" s="3034"/>
      <c r="C127" s="3034"/>
      <c r="D127" s="3134" t="e">
        <f>NUMBERSTRING(INT(D126*10000),2)&amp;"元整"</f>
        <v>#VALUE!</v>
      </c>
      <c r="E127" s="3135"/>
      <c r="F127" s="3135"/>
      <c r="G127" s="3135"/>
      <c r="H127" s="3135"/>
      <c r="I127" s="3136"/>
    </row>
    <row r="128" spans="1:11" ht="21.75" customHeight="1">
      <c r="A128" s="3144" t="s">
        <v>2321</v>
      </c>
      <c r="B128" s="3144"/>
      <c r="C128" s="3144"/>
      <c r="D128" s="3144"/>
      <c r="E128" s="3144"/>
      <c r="F128" s="3144"/>
      <c r="G128" s="3144"/>
      <c r="H128" s="3144"/>
      <c r="I128" s="3144"/>
    </row>
    <row r="129" spans="1:35" ht="21.75" customHeight="1">
      <c r="A129" s="2531" t="s">
        <v>2322</v>
      </c>
      <c r="B129" s="2532"/>
      <c r="C129" s="2533" t="s">
        <v>2323</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2324</v>
      </c>
      <c r="G135" s="2548"/>
      <c r="H135" s="2548"/>
      <c r="I135" s="2549" t="s">
        <v>2325</v>
      </c>
    </row>
    <row r="136" spans="1:35" ht="21.75" customHeight="1">
      <c r="A136" s="795"/>
      <c r="B136" s="2550" t="s">
        <v>2326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2327</v>
      </c>
    </row>
    <row r="139" spans="1:35" ht="21.75" customHeight="1">
      <c r="A139" s="795"/>
      <c r="B139" s="2550" t="s">
        <v>2328</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2327</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40"/>
      <c r="C1" s="242"/>
      <c r="D1" s="242"/>
      <c r="E1" s="242"/>
      <c r="F1" s="242"/>
      <c r="G1" s="1382">
        <f>MATCH(B1,'数据-取费表'!A6:A16,0)+5</f>
        <v>7</v>
      </c>
    </row>
    <row r="2" spans="1:9" s="244" customFormat="1" ht="18" customHeight="1">
      <c r="A2" s="245" t="s">
        <v>2330</v>
      </c>
      <c r="B2" s="246">
        <f ca="1">IF(D2="——",C52,C52-E2)</f>
        <v>1137</v>
      </c>
      <c r="C2" s="243" t="s">
        <v>2331</v>
      </c>
      <c r="D2" s="2553" t="s">
        <v>70</v>
      </c>
      <c r="E2" s="1443" t="e">
        <f ca="1">SUMIF(INDIRECT("'"&amp;G2&amp;"'"&amp;"!A:A"),"承租人权益价值",INDIRECT("'"&amp;G2&amp;"'"&amp;"!c:c"))</f>
        <v>#REF!</v>
      </c>
      <c r="F2" s="2554" t="s">
        <v>2331</v>
      </c>
      <c r="G2" s="2555"/>
    </row>
    <row r="3" spans="1:9" s="244" customFormat="1" ht="18" customHeight="1" thickBot="1">
      <c r="A3" s="247" t="s">
        <v>2332</v>
      </c>
      <c r="B3" s="248">
        <f ca="1">ROUND(B2*10000/(IF(B1="",'数据-汇总表'!E3,INDIRECT("'数据-取费表'!k"&amp;$G$1))),0)</f>
        <v>3672</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52" t="s">
        <v>2340</v>
      </c>
      <c r="B6" s="259" t="s">
        <v>2341</v>
      </c>
      <c r="C6" s="260"/>
      <c r="D6" s="261"/>
      <c r="E6" s="262"/>
      <c r="F6" s="262"/>
      <c r="G6" s="263"/>
    </row>
    <row r="7" spans="1:9" s="258" customFormat="1" ht="13.5" customHeight="1">
      <c r="A7" s="952" t="s">
        <v>2342</v>
      </c>
      <c r="B7" s="259" t="s">
        <v>2343</v>
      </c>
      <c r="C7" s="264">
        <f>ROUND(C6*F7,0)</f>
        <v>0</v>
      </c>
      <c r="D7" s="264"/>
      <c r="E7" s="262"/>
      <c r="F7" s="265">
        <f>'数据-取费表'!B48+'数据-取费表'!B49</f>
        <v>3.0499999999999999E-2</v>
      </c>
      <c r="G7" s="263"/>
    </row>
    <row r="8" spans="1:9" s="267" customFormat="1">
      <c r="A8" s="952" t="s">
        <v>2344</v>
      </c>
      <c r="B8" s="259" t="s">
        <v>2345</v>
      </c>
      <c r="C8" s="264">
        <f>IF(G8="已包含在土地购买价格中","0",IF(B1="",'数据-取费表'!B29,IF(G9="全部缴纳",C9+C10,H9)))</f>
        <v>0</v>
      </c>
      <c r="D8" s="266"/>
      <c r="E8" s="264"/>
      <c r="F8" s="265"/>
      <c r="G8" s="2556"/>
    </row>
    <row r="9" spans="1:9" s="258" customFormat="1" ht="13.5" customHeight="1">
      <c r="A9" s="953" t="s">
        <v>800</v>
      </c>
      <c r="B9" s="268" t="s">
        <v>2346</v>
      </c>
      <c r="C9" s="269">
        <f ca="1">ROUND(D9*E9/10000,0)</f>
        <v>0</v>
      </c>
      <c r="D9" s="1035">
        <f ca="1">IF(B1="",'数据-汇总表'!E5,IF(INDIRECT("'数据-取费表'!c"&amp;$G$1)="住宅",INDIRECT("'数据-取费表'!k"&amp;$G$1),0))</f>
        <v>0</v>
      </c>
      <c r="E9" s="269">
        <f>'数据-取费表'!B27</f>
        <v>0</v>
      </c>
      <c r="F9" s="265"/>
      <c r="G9" s="2557"/>
      <c r="H9" s="1393"/>
      <c r="I9" s="2558" t="s">
        <v>2347</v>
      </c>
    </row>
    <row r="10" spans="1:9" s="258" customFormat="1" ht="13.5" customHeight="1">
      <c r="A10" s="953" t="s">
        <v>801</v>
      </c>
      <c r="B10" s="268" t="s">
        <v>2348</v>
      </c>
      <c r="C10" s="269">
        <f ca="1">ROUND(D10*E10/10000,0)</f>
        <v>62</v>
      </c>
      <c r="D10" s="1035">
        <f ca="1">IF(B1="",'数据-汇总表'!E6,IF(INDIRECT("'数据-取费表'!c"&amp;$G$1)="住宅",INDIRECT("'数据-取费表'!s"&amp;$G$1),INDIRECT("'数据-取费表'!k"&amp;$G$1)+INDIRECT("'数据-取费表'!s"&amp;$G$1)))</f>
        <v>3096.45</v>
      </c>
      <c r="E10" s="269">
        <f>'数据-取费表'!B28</f>
        <v>200</v>
      </c>
      <c r="F10" s="265"/>
      <c r="G10" s="270"/>
    </row>
    <row r="11" spans="1:9" s="258" customFormat="1" ht="13.5" hidden="1" customHeight="1">
      <c r="A11" s="271" t="s">
        <v>7</v>
      </c>
      <c r="B11" s="259" t="s">
        <v>2349</v>
      </c>
      <c r="C11" s="255"/>
      <c r="D11" s="1037"/>
      <c r="E11" s="262"/>
      <c r="F11" s="262"/>
      <c r="G11" s="263"/>
    </row>
    <row r="12" spans="1:9" s="258" customFormat="1" ht="13.5" hidden="1" customHeight="1">
      <c r="A12" s="271" t="s">
        <v>8</v>
      </c>
      <c r="B12" s="259" t="s">
        <v>2350</v>
      </c>
      <c r="C12" s="255">
        <v>0</v>
      </c>
      <c r="D12" s="1037"/>
      <c r="E12" s="272"/>
      <c r="F12" s="265">
        <v>3.0499999999999999E-2</v>
      </c>
      <c r="G12" s="263"/>
    </row>
    <row r="13" spans="1:9" s="258" customFormat="1" ht="13.5" hidden="1" customHeight="1">
      <c r="A13" s="271" t="s">
        <v>9</v>
      </c>
      <c r="B13" s="259" t="s">
        <v>2351</v>
      </c>
      <c r="C13" s="255"/>
      <c r="D13" s="1037"/>
      <c r="E13" s="262"/>
      <c r="F13" s="262"/>
      <c r="G13" s="263"/>
    </row>
    <row r="14" spans="1:9" s="258" customFormat="1" ht="13.5" hidden="1" customHeight="1">
      <c r="A14" s="271" t="s">
        <v>10</v>
      </c>
      <c r="B14" s="259" t="s">
        <v>2352</v>
      </c>
      <c r="C14" s="255"/>
      <c r="D14" s="1037"/>
      <c r="E14" s="262"/>
      <c r="F14" s="262"/>
      <c r="G14" s="263" t="s">
        <v>2353</v>
      </c>
    </row>
    <row r="15" spans="1:9" s="258" customFormat="1" ht="13.5" hidden="1" customHeight="1">
      <c r="A15" s="271" t="s">
        <v>11</v>
      </c>
      <c r="B15" s="259" t="s">
        <v>2354</v>
      </c>
      <c r="C15" s="264"/>
      <c r="D15" s="1037"/>
      <c r="E15" s="262"/>
      <c r="F15" s="262"/>
      <c r="G15" s="263" t="s">
        <v>2355</v>
      </c>
    </row>
    <row r="16" spans="1:9" s="258" customFormat="1" ht="13.5" hidden="1" customHeight="1">
      <c r="A16" s="271" t="s">
        <v>12</v>
      </c>
      <c r="B16" s="259" t="s">
        <v>2352</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f ca="1">IF(G19="已包含在土地取得成本中","0",ROUND(D19*E19/10000,0))</f>
        <v>62</v>
      </c>
      <c r="D19" s="1039">
        <f ca="1">D9+D10</f>
        <v>3096.45</v>
      </c>
      <c r="E19" s="255">
        <f>'数据-取费表'!B31</f>
        <v>200</v>
      </c>
      <c r="F19" s="275"/>
      <c r="G19" s="2556"/>
    </row>
    <row r="20" spans="1:7" s="258" customFormat="1" ht="13.5" customHeight="1">
      <c r="A20" s="299" t="s">
        <v>2361</v>
      </c>
      <c r="B20" s="254" t="s">
        <v>2362</v>
      </c>
      <c r="C20" s="276">
        <f ca="1">ROUND((C5+C19)*F20,0)</f>
        <v>1</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57">
        <f ca="1">ROUND(SUM(C23:C25),0)</f>
        <v>3</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2370</v>
      </c>
      <c r="B23" s="259" t="s">
        <v>2371</v>
      </c>
      <c r="C23" s="1358">
        <f ca="1">ROUND(IF('数据-取费表'!B22&lt;=1,C5*F22*'数据-取费表'!B23,C5*(POWER((1+F22),'数据-取费表'!B23)-1)),0)</f>
        <v>0</v>
      </c>
      <c r="D23" s="282"/>
      <c r="E23" s="282"/>
      <c r="F23" s="283"/>
      <c r="G23" s="284" t="s">
        <v>2372</v>
      </c>
    </row>
    <row r="24" spans="1:7" s="258" customFormat="1" ht="13.5" customHeight="1">
      <c r="A24" s="954" t="s">
        <v>2373</v>
      </c>
      <c r="B24" s="259" t="s">
        <v>2374</v>
      </c>
      <c r="C24" s="1358">
        <f ca="1">ROUND(IF('数据-取费表'!B22&lt;=1,C19*F22*('数据-取费表'!B19/2+'数据-取费表'!B21),C19*(POWER((1+F22),('数据-取费表'!B19/2+'数据-取费表'!B21))-1)),0)</f>
        <v>3</v>
      </c>
      <c r="D24" s="282"/>
      <c r="E24" s="282"/>
      <c r="F24" s="283"/>
      <c r="G24" s="284" t="s">
        <v>2375</v>
      </c>
    </row>
    <row r="25" spans="1:7" s="258" customFormat="1" ht="24">
      <c r="A25" s="954" t="s">
        <v>2376</v>
      </c>
      <c r="B25" s="259" t="s">
        <v>2377</v>
      </c>
      <c r="C25" s="1358">
        <f ca="1">ROUND(IF('数据-取费表'!B22&lt;=1,C20*F22*'数据-取费表'!B23/2,C20*(POWER((1+F22),'数据-取费表'!B23/2)-1)),0)</f>
        <v>0</v>
      </c>
      <c r="D25" s="282"/>
      <c r="E25" s="285"/>
      <c r="F25" s="283"/>
      <c r="G25" s="286" t="s">
        <v>2378</v>
      </c>
    </row>
    <row r="26" spans="1:7" s="258" customFormat="1">
      <c r="A26" s="954" t="s">
        <v>795</v>
      </c>
      <c r="B26" s="259" t="s">
        <v>2379</v>
      </c>
      <c r="C26" s="282">
        <f ca="1">ROUND(IF('数据-取费表'!B22&lt;=1,F21*F22*'数据-取费表'!B23/2,F21*(POWER((1+F22),'数据-取费表'!B23/2)-1)),4)</f>
        <v>4.0000000000000002E-4</v>
      </c>
      <c r="D26" s="282"/>
      <c r="E26" s="285"/>
      <c r="F26" s="283"/>
      <c r="G26" s="287"/>
    </row>
    <row r="27" spans="1:7" s="258" customFormat="1" ht="24.75">
      <c r="A27" s="299" t="s">
        <v>2380</v>
      </c>
      <c r="B27" s="288" t="s">
        <v>2381</v>
      </c>
      <c r="C27" s="289">
        <f ca="1">C28</f>
        <v>19</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ROUND((C5+C19+C20)*F27*'数据-取费表'!B21/'数据-取费表'!B20,0)</f>
        <v>19</v>
      </c>
      <c r="D28" s="279"/>
      <c r="E28" s="280"/>
      <c r="F28" s="290"/>
      <c r="G28" s="291"/>
    </row>
    <row r="29" spans="1:7" s="258" customFormat="1" ht="13.5" customHeight="1">
      <c r="A29" s="954" t="s">
        <v>792</v>
      </c>
      <c r="B29" s="292" t="s">
        <v>2385</v>
      </c>
      <c r="C29" s="282">
        <f ca="1">ROUND(C21*F27*'数据-取费表'!B21/'数据-取费表'!B20,4)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92</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951</v>
      </c>
      <c r="D33" s="276"/>
      <c r="E33" s="256"/>
      <c r="F33" s="285"/>
      <c r="G33" s="278"/>
    </row>
    <row r="34" spans="1:7" s="302" customFormat="1" ht="13.5" customHeight="1">
      <c r="A34" s="954" t="s">
        <v>791</v>
      </c>
      <c r="B34" s="259" t="s">
        <v>2393</v>
      </c>
      <c r="C34" s="264">
        <f ca="1">IF(B1="",IF(F34=100%,'数据-取费表'!M16,'数据-取费表'!O16),IF(F34=100%,INDIRECT("'数据-取费表'!m"&amp;$G$1)+INDIRECT("'数据-取费表'!t"&amp;$G$1),INDIRECT("'数据-取费表'!o"&amp;$G$1)+INDIRECT("'数据-取费表'!aq"&amp;$G$1)))</f>
        <v>842</v>
      </c>
      <c r="D34" s="261"/>
      <c r="E34" s="264"/>
      <c r="F34" s="301">
        <f ca="1">IF('数据-取费表'!B24=0,1,IF(B1="",'数据-取费表'!N16,INDIRECT("'数据-取费表'!n"&amp;$G$1)))</f>
        <v>1</v>
      </c>
      <c r="G34" s="263" t="s">
        <v>2394</v>
      </c>
    </row>
    <row r="35" spans="1:7" ht="13.5" customHeight="1">
      <c r="A35" s="954" t="s">
        <v>796</v>
      </c>
      <c r="B35" s="259" t="s">
        <v>2395</v>
      </c>
      <c r="C35" s="264">
        <f ca="1">ROUND(C34*F35,0)</f>
        <v>34</v>
      </c>
      <c r="D35" s="264"/>
      <c r="E35" s="264"/>
      <c r="F35" s="303">
        <f>'数据-取费表'!B33</f>
        <v>0.04</v>
      </c>
      <c r="G35" s="263" t="s">
        <v>2396</v>
      </c>
    </row>
    <row r="36" spans="1:7" ht="24">
      <c r="A36" s="954" t="s">
        <v>797</v>
      </c>
      <c r="B36" s="259" t="s">
        <v>2397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2398</v>
      </c>
    </row>
    <row r="37" spans="1:7" s="302" customFormat="1" ht="13.5" customHeight="1">
      <c r="A37" s="954" t="s">
        <v>798</v>
      </c>
      <c r="B37" s="259" t="s">
        <v>2399</v>
      </c>
      <c r="C37" s="293">
        <f ca="1">ROUND(E37*D37*F34/10000,0)</f>
        <v>62</v>
      </c>
      <c r="D37" s="261">
        <f ca="1">D19</f>
        <v>3096.45</v>
      </c>
      <c r="E37" s="293">
        <f>'数据-取费表'!B35</f>
        <v>200</v>
      </c>
      <c r="F37" s="303"/>
      <c r="G37" s="305" t="s">
        <v>2400</v>
      </c>
    </row>
    <row r="38" spans="1:7" ht="13.5" customHeight="1">
      <c r="A38" s="954" t="s">
        <v>799</v>
      </c>
      <c r="B38" s="259" t="s">
        <v>2401</v>
      </c>
      <c r="C38" s="264">
        <f ca="1">ROUND(C34*F38,0)</f>
        <v>13</v>
      </c>
      <c r="D38" s="264"/>
      <c r="E38" s="264"/>
      <c r="F38" s="303">
        <f>'数据-取费表'!B36</f>
        <v>1.4999999999999999E-2</v>
      </c>
      <c r="G38" s="263" t="s">
        <v>2396</v>
      </c>
    </row>
    <row r="39" spans="1:7" s="258" customFormat="1" ht="13.5" customHeight="1">
      <c r="A39" s="299" t="s">
        <v>2402</v>
      </c>
      <c r="B39" s="254" t="s">
        <v>2403</v>
      </c>
      <c r="C39" s="276">
        <f ca="1">ROUND(C33*F20,0)</f>
        <v>19</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21</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ROUND(IF('数据-取费表'!B22&lt;=1,C33*F22*'数据-取费表'!B21/2,C33*(POWER((1+F22),'数据-取费表'!B21/2)-1)),0)</f>
        <v>21</v>
      </c>
      <c r="D42" s="282"/>
      <c r="E42" s="282"/>
      <c r="F42" s="283"/>
      <c r="G42" s="3176" t="s">
        <v>2412</v>
      </c>
    </row>
    <row r="43" spans="1:7" ht="13.5" customHeight="1">
      <c r="A43" s="954" t="s">
        <v>792</v>
      </c>
      <c r="B43" s="259" t="s">
        <v>2413</v>
      </c>
      <c r="C43" s="282">
        <f ca="1">ROUND(IF('数据-取费表'!B22&lt;=1,C39*F22*'数据-取费表'!B21/2,C39*(POWER((1+F22),'数据-取费表'!B21/2)-1)),0)</f>
        <v>0</v>
      </c>
      <c r="D43" s="282"/>
      <c r="E43" s="282"/>
      <c r="F43" s="283"/>
      <c r="G43" s="3177"/>
    </row>
    <row r="44" spans="1:7" ht="13.5" customHeight="1">
      <c r="A44" s="954" t="s">
        <v>793</v>
      </c>
      <c r="B44" s="259" t="s">
        <v>2414</v>
      </c>
      <c r="C44" s="282">
        <f ca="1">ROUND(IF('数据-取费表'!B22&lt;=1,C40*F22*'数据-取费表'!B21/2,C40*(POWER((1+F22),'数据-取费表'!B21/2)-1)),4)</f>
        <v>4.0000000000000002E-4</v>
      </c>
      <c r="D44" s="282"/>
      <c r="E44" s="282"/>
      <c r="F44" s="283"/>
      <c r="G44" s="3178"/>
    </row>
    <row r="45" spans="1:7" s="258" customFormat="1" ht="13.5" customHeight="1">
      <c r="A45" s="299" t="s">
        <v>2415</v>
      </c>
      <c r="B45" s="288" t="s">
        <v>2381</v>
      </c>
      <c r="C45" s="289">
        <f ca="1">C46</f>
        <v>291</v>
      </c>
      <c r="D45" s="279">
        <f ca="1">C47</f>
        <v>6.0000000000000001E-3</v>
      </c>
      <c r="E45" s="280" t="s">
        <v>2407</v>
      </c>
      <c r="F45" s="290"/>
      <c r="G45" s="291" t="s">
        <v>2416</v>
      </c>
    </row>
    <row r="46" spans="1:7" s="258" customFormat="1" ht="13.5" customHeight="1">
      <c r="A46" s="954" t="s">
        <v>791</v>
      </c>
      <c r="B46" s="292" t="s">
        <v>2417</v>
      </c>
      <c r="C46" s="293">
        <f ca="1">ROUND((C33+C39)*F27,0)</f>
        <v>291</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1731">
        <f>ROUND(F30/(1+'数据-取费表'!C42),4)</f>
        <v>5.33E-2</v>
      </c>
      <c r="D48" s="280" t="s">
        <v>2407</v>
      </c>
      <c r="E48" s="276"/>
      <c r="F48" s="281"/>
      <c r="G48" s="278" t="s">
        <v>2420</v>
      </c>
    </row>
    <row r="49" spans="1:7" ht="16.5" customHeight="1">
      <c r="A49" s="299" t="s">
        <v>2386</v>
      </c>
      <c r="B49" s="254" t="s">
        <v>2421</v>
      </c>
      <c r="C49" s="276">
        <f ca="1">ROUND((C33+C39+C41+C45)/(1-C40-D41-D45-C48),0)</f>
        <v>1393</v>
      </c>
      <c r="D49" s="276"/>
      <c r="E49" s="276"/>
      <c r="F49" s="308"/>
      <c r="G49" s="278" t="s">
        <v>2422</v>
      </c>
    </row>
    <row r="50" spans="1:7" s="302" customFormat="1" ht="24">
      <c r="A50" s="299" t="s">
        <v>2423</v>
      </c>
      <c r="B50" s="254" t="s">
        <v>2424</v>
      </c>
      <c r="C50" s="276"/>
      <c r="D50" s="276"/>
      <c r="E50" s="276"/>
      <c r="F50" s="308">
        <f>IF('数据-取费表'!B24=0,'数据-取费表'!N16,1)</f>
        <v>0.75</v>
      </c>
      <c r="G50" s="291" t="s">
        <v>2425</v>
      </c>
    </row>
    <row r="51" spans="1:7" ht="16.5" customHeight="1">
      <c r="A51" s="299" t="s">
        <v>2426</v>
      </c>
      <c r="B51" s="254" t="s">
        <v>2427</v>
      </c>
      <c r="C51" s="276">
        <f ca="1">ROUND(C49*F50,0)</f>
        <v>1045</v>
      </c>
      <c r="D51" s="276"/>
      <c r="E51" s="276"/>
      <c r="F51" s="308"/>
      <c r="G51" s="278" t="s">
        <v>2428</v>
      </c>
    </row>
    <row r="52" spans="1:7" s="252" customFormat="1" ht="16.5" thickBot="1">
      <c r="A52" s="309" t="s">
        <v>2429</v>
      </c>
      <c r="B52" s="310"/>
      <c r="C52" s="311">
        <f ca="1">C31+C51</f>
        <v>1137</v>
      </c>
      <c r="D52" s="310"/>
      <c r="E52" s="310"/>
      <c r="F52" s="310"/>
      <c r="G52" s="312"/>
    </row>
    <row r="55" spans="1:7" ht="15">
      <c r="B55" s="314" t="s">
        <v>2430</v>
      </c>
      <c r="C55" s="315"/>
    </row>
    <row r="56" spans="1:7">
      <c r="B56" s="317" t="s">
        <v>1512</v>
      </c>
      <c r="C56" s="319">
        <f ca="1">1-C57</f>
        <v>8.0999999999999961E-2</v>
      </c>
    </row>
    <row r="57" spans="1:7">
      <c r="B57" s="317" t="s">
        <v>1513</v>
      </c>
      <c r="C57" s="318">
        <f ca="1">ROUND(C51/C52,3)</f>
        <v>0.91900000000000004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3008</v>
      </c>
      <c r="C1" s="3180" t="s">
        <v>3009</v>
      </c>
      <c r="D1" s="3181"/>
      <c r="E1" s="3181"/>
      <c r="F1" s="3181"/>
      <c r="G1" s="3181"/>
      <c r="H1" s="3181"/>
      <c r="I1" s="3181"/>
      <c r="J1" s="3181"/>
      <c r="K1" s="3181"/>
      <c r="L1" s="3181"/>
      <c r="M1" s="3181"/>
      <c r="N1" s="3181"/>
      <c r="O1" s="3181"/>
      <c r="P1" s="3181"/>
      <c r="Q1" s="3181"/>
      <c r="R1" s="3181"/>
      <c r="S1" s="3182"/>
      <c r="T1" s="1207" t="s">
        <v>3010</v>
      </c>
    </row>
    <row r="2" spans="1:45" s="707" customFormat="1" ht="25.5">
      <c r="A2" s="1208"/>
      <c r="B2" s="703" t="s">
        <v>3011</v>
      </c>
      <c r="C2" s="704" t="str">
        <f t="shared" ref="C2:L2" si="0">C3&amp;"(含)"&amp;"-"&amp;D3</f>
        <v>0(含)-1000</v>
      </c>
      <c r="D2" s="705" t="str">
        <f t="shared" si="0"/>
        <v>1000(含)-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1000</v>
      </c>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100</v>
      </c>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70" t="s">
        <v>3087</v>
      </c>
      <c r="C5" s="1219">
        <v>1</v>
      </c>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3017</v>
      </c>
      <c r="B17" s="2923" t="s">
        <v>3018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3019</v>
      </c>
      <c r="E19" s="1795"/>
      <c r="F19" s="1795"/>
      <c r="G19" s="1795"/>
      <c r="H19" s="1283"/>
      <c r="I19" s="168"/>
      <c r="J19" s="168"/>
      <c r="K19" s="168"/>
      <c r="L19" s="168"/>
      <c r="M19" s="168"/>
      <c r="N19" s="168"/>
      <c r="O19" s="168"/>
      <c r="P19" s="168"/>
      <c r="Q19" s="168"/>
      <c r="R19" s="788"/>
      <c r="S19" s="138"/>
    </row>
    <row r="20" spans="1:45" ht="16.5" thickBot="1">
      <c r="A20" s="715" t="s">
        <v>3020</v>
      </c>
      <c r="B20" s="338" t="e">
        <f ca="1">IF(D20="——",S22,S22-F20)</f>
        <v>#REF!</v>
      </c>
      <c r="C20" s="168"/>
      <c r="D20" s="2925" t="s">
        <v>3021</v>
      </c>
      <c r="E20" s="1796"/>
      <c r="F20" s="1207" t="e">
        <f ca="1">SUMIF(INDIRECT("'"&amp;H20&amp;"'"&amp;"!A:A"),"承租人权益价值",INDIRECT("'"&amp;H20&amp;"'"&amp;"!c:c"))</f>
        <v>#REF!</v>
      </c>
      <c r="G20" s="1207" t="s">
        <v>3022</v>
      </c>
      <c r="H20" s="2926"/>
      <c r="I20" s="168"/>
      <c r="J20" s="168"/>
      <c r="K20" s="168"/>
      <c r="L20" s="168"/>
      <c r="M20" s="168"/>
      <c r="N20" s="168"/>
      <c r="O20" s="168"/>
      <c r="P20" s="168"/>
      <c r="Q20" s="168"/>
      <c r="R20" s="788"/>
      <c r="S20" s="138"/>
    </row>
    <row r="21" spans="1:45" ht="15.75">
      <c r="A21" s="715" t="s">
        <v>3023</v>
      </c>
      <c r="B21" s="338">
        <f>R22</f>
        <v>10000</v>
      </c>
      <c r="C21" s="168"/>
      <c r="D21" s="168"/>
      <c r="E21" s="168"/>
      <c r="F21" s="168"/>
      <c r="G21" s="168"/>
      <c r="H21" s="168"/>
      <c r="I21" s="168"/>
      <c r="J21" s="168"/>
      <c r="K21" s="168"/>
      <c r="L21" s="168"/>
      <c r="M21" s="168"/>
      <c r="N21" s="168"/>
      <c r="O21" s="168"/>
      <c r="P21" s="168"/>
      <c r="Q21" s="168"/>
      <c r="R21" s="788"/>
      <c r="S21" s="138"/>
    </row>
    <row r="22" spans="1:45">
      <c r="A22" s="361" t="s">
        <v>3024</v>
      </c>
      <c r="B22" s="24">
        <f>SUM(B24:B10000)</f>
        <v>2876.99</v>
      </c>
      <c r="C22" s="3171" t="s">
        <v>33</v>
      </c>
      <c r="D22" s="3172"/>
      <c r="E22" s="3172"/>
      <c r="F22" s="3172"/>
      <c r="G22" s="3172"/>
      <c r="H22" s="3172"/>
      <c r="I22" s="3172"/>
      <c r="J22" s="3172"/>
      <c r="K22" s="3172"/>
      <c r="L22" s="3172"/>
      <c r="M22" s="3172"/>
      <c r="N22" s="3172"/>
      <c r="O22" s="3172"/>
      <c r="P22" s="3172"/>
      <c r="Q22" s="3179"/>
      <c r="R22" s="716">
        <f>ROUND(S22*10000/B22,0)</f>
        <v>10000</v>
      </c>
      <c r="S22" s="24">
        <f>SUM(S24:S10000)</f>
        <v>2877</v>
      </c>
    </row>
    <row r="23" spans="1:45" s="12" customFormat="1" ht="24">
      <c r="A23" s="11" t="s">
        <v>3025</v>
      </c>
      <c r="B23" s="11" t="s">
        <v>3026</v>
      </c>
      <c r="C23" s="11" t="s">
        <v>3027</v>
      </c>
      <c r="D23" s="11" t="str">
        <f>B5</f>
        <v>楼层</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7" t="s">
        <v>3028</v>
      </c>
      <c r="S23" s="11" t="s">
        <v>3029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68" t="s">
        <v>3084</v>
      </c>
      <c r="B24" s="718">
        <f>'数据-汇总表'!F19</f>
        <v>2876.99</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2877</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69" t="s">
        <v>3085</v>
      </c>
      <c r="B25" s="59">
        <f>'数据-汇总表'!F20</f>
        <v>0</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10000</v>
      </c>
      <c r="S25" s="361">
        <f t="shared" si="11"/>
        <v>0</v>
      </c>
    </row>
    <row r="26" spans="1:45">
      <c r="A26" s="2969" t="s">
        <v>3086</v>
      </c>
      <c r="B26" s="59">
        <f>'数据-汇总表'!F21</f>
        <v>0</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10000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43" zoomScaleNormal="100" zoomScaleSheetLayoutView="90" workbookViewId="0">
      <selection activeCell="F50" sqref="F5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3099</v>
      </c>
      <c r="D1" s="1823" t="s">
        <v>70</v>
      </c>
      <c r="E1" s="1824" t="s">
        <v>1386</v>
      </c>
      <c r="F1" s="1286">
        <f ca="1">J53</f>
        <v>25.55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f ca="1">ROUND(D2/10000,0)</f>
        <v>4651</v>
      </c>
      <c r="C2" s="1848" t="s">
        <v>1590</v>
      </c>
      <c r="D2" s="1941">
        <f ca="1">C40+J29+L46</f>
        <v>46510347</v>
      </c>
      <c r="E2" s="1849" t="s">
        <v>1591</v>
      </c>
      <c r="F2" s="1850"/>
      <c r="G2" s="1851"/>
      <c r="H2" s="1843"/>
      <c r="I2" s="1843"/>
      <c r="J2" s="1843"/>
      <c r="K2" s="1844"/>
      <c r="L2" s="1843"/>
      <c r="M2" s="1843"/>
    </row>
    <row r="3" spans="1:37" ht="18" customHeight="1" thickBot="1">
      <c r="A3" s="1852" t="s">
        <v>1592</v>
      </c>
      <c r="B3" s="1853">
        <f ca="1">IF(ISERROR(D2/F43),0,ROUND(D2/F43,0))</f>
        <v>15021</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793121</v>
      </c>
      <c r="D5" s="1825" t="s">
        <v>1600</v>
      </c>
      <c r="E5" s="1296"/>
      <c r="F5" s="1297"/>
      <c r="G5" s="1854"/>
      <c r="H5" s="344">
        <v>1</v>
      </c>
      <c r="I5" s="345" t="s">
        <v>1599</v>
      </c>
      <c r="J5" s="1295">
        <f ca="1">J6+J10+J12</f>
        <v>3274456</v>
      </c>
      <c r="K5" s="1825" t="s">
        <v>1600</v>
      </c>
      <c r="L5" s="1296"/>
      <c r="M5" s="1297"/>
    </row>
    <row r="6" spans="1:37" ht="18" customHeight="1">
      <c r="A6" s="1294" t="s">
        <v>1035</v>
      </c>
      <c r="B6" s="3183" t="s">
        <v>1402</v>
      </c>
      <c r="C6" s="1299">
        <f ca="1">ROUND(F6*F8*F7*(1-F9),0)</f>
        <v>791143</v>
      </c>
      <c r="D6" s="164" t="s">
        <v>3030</v>
      </c>
      <c r="E6" s="347" t="s">
        <v>1404</v>
      </c>
      <c r="F6" s="348">
        <f ca="1">INDIRECT("'数据-取费表'!u"&amp;$G$1)</f>
        <v>0.7</v>
      </c>
      <c r="G6" s="1854"/>
      <c r="H6" s="1294" t="s">
        <v>1035</v>
      </c>
      <c r="I6" s="3183" t="s">
        <v>1402</v>
      </c>
      <c r="J6" s="346">
        <f ca="1">ROUND(M6*M8*M7*(1-M9),0)</f>
        <v>3266290</v>
      </c>
      <c r="K6" s="1837" t="s">
        <v>3031</v>
      </c>
      <c r="L6" s="347" t="s">
        <v>1404</v>
      </c>
      <c r="M6" s="348">
        <f ca="1">INDIRECT("'数据-取费表'!z"&amp;$G$1)</f>
        <v>3.4</v>
      </c>
    </row>
    <row r="7" spans="1:37" ht="18" customHeight="1">
      <c r="A7" s="1298"/>
      <c r="B7" s="3184"/>
      <c r="C7" s="1300"/>
      <c r="D7" s="352"/>
      <c r="E7" s="1301" t="s">
        <v>1405</v>
      </c>
      <c r="F7" s="348">
        <f ca="1">IF(INDIRECT("'数据-取费表'!ah"&amp;$G$1)="",INDIRECT("'数据-取费表'!k"&amp;$G$1),INDIRECT("'数据-取费表'!ah"&amp;$G$1))</f>
        <v>3096.45</v>
      </c>
      <c r="G7" s="1854"/>
      <c r="H7" s="349"/>
      <c r="I7" s="3184"/>
      <c r="J7" s="351"/>
      <c r="K7" s="352"/>
      <c r="L7" s="347" t="s">
        <v>1405</v>
      </c>
      <c r="M7" s="348">
        <f ca="1">F7</f>
        <v>3096.45</v>
      </c>
    </row>
    <row r="8" spans="1:37" ht="18" customHeight="1">
      <c r="A8" s="349"/>
      <c r="B8" s="3184"/>
      <c r="C8" s="351"/>
      <c r="D8" s="352"/>
      <c r="E8" s="347" t="s">
        <v>1406</v>
      </c>
      <c r="F8" s="348">
        <f ca="1">INDIRECT("'数据-取费表'!ai"&amp;$G$1)</f>
        <v>365</v>
      </c>
      <c r="G8" s="1854"/>
      <c r="H8" s="349"/>
      <c r="I8" s="3184"/>
      <c r="J8" s="351"/>
      <c r="K8" s="352"/>
      <c r="L8" s="347" t="s">
        <v>1406</v>
      </c>
      <c r="M8" s="348">
        <f ca="1">INDIRECT("'数据-取费表'!ai"&amp;$G$1)</f>
        <v>365</v>
      </c>
    </row>
    <row r="9" spans="1:37" ht="18" customHeight="1">
      <c r="A9" s="349"/>
      <c r="B9" s="3185"/>
      <c r="C9" s="351"/>
      <c r="D9" s="352"/>
      <c r="E9" s="347" t="s">
        <v>1407</v>
      </c>
      <c r="F9" s="357">
        <f ca="1">INDIRECT("'数据-取费表'!w"&amp;$G$1)</f>
        <v>0</v>
      </c>
      <c r="G9" s="1854"/>
      <c r="H9" s="349"/>
      <c r="I9" s="3185"/>
      <c r="J9" s="351"/>
      <c r="K9" s="352"/>
      <c r="L9" s="358" t="s">
        <v>1407</v>
      </c>
      <c r="M9" s="359">
        <f ca="1">INDIRECT("'数据-取费表'!ab"&amp;$G$1)</f>
        <v>0.15</v>
      </c>
    </row>
    <row r="10" spans="1:37" ht="18" customHeight="1">
      <c r="A10" s="1294" t="s">
        <v>1039</v>
      </c>
      <c r="B10" s="1826" t="s">
        <v>1408</v>
      </c>
      <c r="C10" s="361">
        <f ca="1">ROUND(IF(F10="押一",C6/12*F11,IF(F10="押二",C6/12*2*F11,IF(F10="押三",C6/12*3*F11,C11*F11))),0)</f>
        <v>1978</v>
      </c>
      <c r="D10" s="1827" t="s">
        <v>3041</v>
      </c>
      <c r="E10" s="358" t="s">
        <v>1409</v>
      </c>
      <c r="F10" s="1369" t="s">
        <v>3075</v>
      </c>
      <c r="G10" s="1854"/>
      <c r="H10" s="1294" t="s">
        <v>1039</v>
      </c>
      <c r="I10" s="1826" t="s">
        <v>1408</v>
      </c>
      <c r="J10" s="346">
        <f ca="1">ROUND(IF(M10="押一",J6/12*M11,IF(M10="押二",J6/12*2*M11,IF(M10="押三",J6/12*3*M11,J11*M11))),0)</f>
        <v>8166</v>
      </c>
      <c r="K10" s="1838" t="s">
        <v>3043</v>
      </c>
      <c r="L10" s="358" t="s">
        <v>1409</v>
      </c>
      <c r="M10" s="1369" t="s">
        <v>3075</v>
      </c>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10443047</v>
      </c>
      <c r="D13" s="1334" t="s">
        <v>1414</v>
      </c>
      <c r="E13" s="1334" t="s">
        <v>1415</v>
      </c>
      <c r="F13" s="1335">
        <f ca="1">INDIRECT("'数据-取费表'!y"&amp;$G$1)</f>
        <v>0.75</v>
      </c>
      <c r="G13" s="1854"/>
      <c r="H13" s="1332">
        <v>2</v>
      </c>
      <c r="I13" s="1333" t="s">
        <v>1413</v>
      </c>
      <c r="J13" s="1293">
        <f ca="1">ROUND(J14*J15,0)</f>
        <v>10443047</v>
      </c>
      <c r="K13" s="1340" t="s">
        <v>1414</v>
      </c>
      <c r="L13" s="1855"/>
      <c r="M13" s="1856"/>
    </row>
    <row r="14" spans="1:37" ht="18" customHeight="1">
      <c r="A14" s="1204" t="s">
        <v>1034</v>
      </c>
      <c r="B14" s="347" t="s">
        <v>1416</v>
      </c>
      <c r="C14" s="363">
        <f ca="1">ROUND(INDIRECT("'数据-取费表'!l"&amp;$G$1)*F43+'数据-取费表'!L14*INDIRECT("'数据-取费表'!S"&amp;$G$1),0)</f>
        <v>8422344</v>
      </c>
      <c r="D14" s="1803" t="s">
        <v>1417</v>
      </c>
      <c r="E14" s="1797"/>
      <c r="F14" s="364"/>
      <c r="G14" s="1854"/>
      <c r="H14" s="1204" t="s">
        <v>1035</v>
      </c>
      <c r="I14" s="347" t="s">
        <v>1418</v>
      </c>
      <c r="J14" s="24">
        <f ca="1">C29</f>
        <v>13924062</v>
      </c>
      <c r="K14" s="15"/>
      <c r="L14" s="982"/>
      <c r="M14" s="983"/>
    </row>
    <row r="15" spans="1:37" s="1861" customFormat="1" ht="18" customHeight="1" thickBot="1">
      <c r="A15" s="1204" t="s">
        <v>1036</v>
      </c>
      <c r="B15" s="347" t="s">
        <v>1419</v>
      </c>
      <c r="C15" s="24">
        <f ca="1">ROUND(C14*F15,0)</f>
        <v>336894</v>
      </c>
      <c r="D15" s="365" t="s">
        <v>1420</v>
      </c>
      <c r="E15" s="365" t="s">
        <v>1421</v>
      </c>
      <c r="F15" s="366">
        <f>'数据-取费表'!B33</f>
        <v>0.04</v>
      </c>
      <c r="G15" s="1857"/>
      <c r="H15" s="1342" t="s">
        <v>1039</v>
      </c>
      <c r="I15" s="1343" t="s">
        <v>1415</v>
      </c>
      <c r="J15" s="1352">
        <f ca="1">INDIRECT("'数据-取费表'!ad"&amp;$G$1)</f>
        <v>0.75</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ROUND(INDIRECT("'数据-取费表'!l"&amp;$G$1)*F43*F16,0)</f>
        <v>0</v>
      </c>
      <c r="D16" s="347" t="s">
        <v>1420</v>
      </c>
      <c r="E16" s="347" t="s">
        <v>1421</v>
      </c>
      <c r="F16" s="367">
        <f ca="1">IF(INDIRECT("'数据-取费表'!c"&amp;$G$1)="住宅",'数据-取费表'!B34,0)</f>
        <v>0</v>
      </c>
      <c r="G16" s="1854"/>
      <c r="H16" s="1332" t="s">
        <v>1030</v>
      </c>
      <c r="I16" s="1333" t="s">
        <v>1423</v>
      </c>
      <c r="J16" s="355">
        <f ca="1">ROUND(J17+J22+J23+J24,0)</f>
        <v>556855</v>
      </c>
      <c r="K16" s="1340" t="s">
        <v>1424</v>
      </c>
      <c r="L16" s="1341"/>
      <c r="M16" s="1297"/>
    </row>
    <row r="17" spans="1:37" s="1861" customFormat="1" ht="18" customHeight="1">
      <c r="A17" s="1204" t="s">
        <v>1389</v>
      </c>
      <c r="B17" s="347" t="s">
        <v>1425</v>
      </c>
      <c r="C17" s="24">
        <f ca="1">ROUND(F17*(F43+INDIRECT("'数据-取费表'!S"&amp;$G$1)),0)</f>
        <v>619290</v>
      </c>
      <c r="D17" s="347" t="s">
        <v>1426</v>
      </c>
      <c r="E17" s="347" t="s">
        <v>1427</v>
      </c>
      <c r="F17" s="26">
        <f>'数据-取费表'!B35</f>
        <v>200</v>
      </c>
      <c r="G17" s="1857"/>
      <c r="H17" s="1204" t="s">
        <v>1035</v>
      </c>
      <c r="I17" s="347" t="s">
        <v>1428</v>
      </c>
      <c r="J17" s="24">
        <f ca="1">ROUND(IF(项目基本情况!B11="自然人",J5*M17,J18+J19+J20),0)</f>
        <v>293036</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126335</v>
      </c>
      <c r="D18" s="347" t="s">
        <v>1420</v>
      </c>
      <c r="E18" s="347" t="s">
        <v>1421</v>
      </c>
      <c r="F18" s="367">
        <f>'数据-取费表'!B36</f>
        <v>1.4999999999999999E-2</v>
      </c>
      <c r="G18" s="1857"/>
      <c r="H18" s="1204" t="s">
        <v>1034</v>
      </c>
      <c r="I18" s="347" t="s">
        <v>1432</v>
      </c>
      <c r="J18" s="24">
        <f ca="1">ROUND(J5*M18/(1+'数据-取费表'!C42),0)</f>
        <v>174638</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9504863</v>
      </c>
      <c r="D19" s="140" t="s">
        <v>1435</v>
      </c>
      <c r="E19" s="1821"/>
      <c r="F19" s="26"/>
      <c r="G19" s="1854"/>
      <c r="H19" s="1204" t="s">
        <v>1036</v>
      </c>
      <c r="I19" s="347" t="s">
        <v>1436</v>
      </c>
      <c r="J19" s="24">
        <f ca="1">IF(K19="按租金收入计税",ROUND(J5*M19,0),ROUND(C29*M19*0.7,0))</f>
        <v>116962</v>
      </c>
      <c r="K19" s="1831" t="s">
        <v>1437</v>
      </c>
      <c r="L19" s="347" t="s">
        <v>1421</v>
      </c>
      <c r="M19" s="367">
        <f>IF(K19="按租金收入计税",'数据-取费表'!B51,'数据-取费表'!B50)</f>
        <v>1.2E-2</v>
      </c>
    </row>
    <row r="20" spans="1:37" s="1861" customFormat="1" ht="18" customHeight="1">
      <c r="A20" s="1204" t="s">
        <v>1039</v>
      </c>
      <c r="B20" s="347" t="s">
        <v>1438</v>
      </c>
      <c r="C20" s="24">
        <f ca="1">ROUND(C19*F20,0)</f>
        <v>190097</v>
      </c>
      <c r="D20" s="369" t="s">
        <v>1439</v>
      </c>
      <c r="E20" s="347" t="s">
        <v>1421</v>
      </c>
      <c r="F20" s="367">
        <f>'数据-取费表'!B37</f>
        <v>0.02</v>
      </c>
      <c r="G20" s="1857"/>
      <c r="H20" s="1204" t="s">
        <v>1388</v>
      </c>
      <c r="I20" s="164" t="s">
        <v>1440</v>
      </c>
      <c r="J20" s="25">
        <f ca="1">ROUND(M20*M21,0)</f>
        <v>1436</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f ca="1">INDIRECT("'数据-取费表'!r"&amp;$G$1)</f>
        <v>478.53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ROUND(J14*M22,0)</f>
        <v>208861</v>
      </c>
      <c r="K22" s="1801"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210866</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ROUND(J13*M23,0)</f>
        <v>15665</v>
      </c>
      <c r="K23" s="1801" t="s">
        <v>1453</v>
      </c>
      <c r="L23" s="347" t="s">
        <v>1454</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ROUND(J5*M24,0)</f>
        <v>39293</v>
      </c>
      <c r="K24" s="1345" t="s">
        <v>1458</v>
      </c>
      <c r="L24" s="1343" t="s">
        <v>1454</v>
      </c>
      <c r="M24" s="1339">
        <f ca="1">INDIRECT("'数据-取费表'!Am"&amp;$G$1)</f>
        <v>1.2E-2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1821"/>
      <c r="F25" s="26"/>
      <c r="G25" s="1854"/>
      <c r="H25" s="1332" t="s">
        <v>1031</v>
      </c>
      <c r="I25" s="1347" t="s">
        <v>1462</v>
      </c>
      <c r="J25" s="355">
        <f ca="1">J5-J16</f>
        <v>2717601</v>
      </c>
      <c r="K25" s="1348" t="s">
        <v>1463</v>
      </c>
      <c r="L25" s="1349"/>
      <c r="M25" s="1350"/>
    </row>
    <row r="26" spans="1:37" ht="18" customHeight="1">
      <c r="A26" s="1204" t="s">
        <v>1034</v>
      </c>
      <c r="B26" s="347" t="s">
        <v>1464</v>
      </c>
      <c r="C26" s="24">
        <f ca="1">ROUND((C19+C20)*F26,0)</f>
        <v>2908488</v>
      </c>
      <c r="D26" s="369" t="s">
        <v>1465</v>
      </c>
      <c r="E26" s="358" t="s">
        <v>1466</v>
      </c>
      <c r="F26" s="357">
        <f ca="1">INDIRECT("'数据-取费表'!q"&amp;$G$1)</f>
        <v>0.3</v>
      </c>
      <c r="G26" s="1854"/>
      <c r="H26" s="344" t="s">
        <v>1032</v>
      </c>
      <c r="I26" s="345" t="s">
        <v>1467</v>
      </c>
      <c r="J26" s="346">
        <f ca="1">IF(J5&lt;&gt;0,ROUND(J25*(1-((1+M28)/(1+M26))^M27)/(M26-M28),0),0)</f>
        <v>49904230</v>
      </c>
      <c r="K26" s="370" t="s">
        <v>1468</v>
      </c>
      <c r="L26" s="347" t="s">
        <v>1469</v>
      </c>
      <c r="M26" s="357">
        <f ca="1">INDIRECT("'数据-取费表'!I"&amp;$G$1)</f>
        <v>0.05</v>
      </c>
    </row>
    <row r="27" spans="1:37" ht="18" customHeight="1">
      <c r="A27" s="1204" t="s">
        <v>1036</v>
      </c>
      <c r="B27" s="347" t="s">
        <v>1470</v>
      </c>
      <c r="C27" s="24">
        <f ca="1">ROUND(F21*F26,4)</f>
        <v>6.0000000000000001E-3</v>
      </c>
      <c r="D27" s="369" t="s">
        <v>1471</v>
      </c>
      <c r="E27" s="365"/>
      <c r="F27" s="366"/>
      <c r="G27" s="1854"/>
      <c r="H27" s="349"/>
      <c r="I27" s="350"/>
      <c r="J27" s="351"/>
      <c r="K27" s="378" t="s">
        <v>1472</v>
      </c>
      <c r="L27" s="347" t="s">
        <v>1473</v>
      </c>
      <c r="M27" s="379">
        <f ca="1">INDIRECT("'数据-取费表'!ag"&amp;$G$1)</f>
        <v>23.8</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0.03</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13924062</v>
      </c>
      <c r="D29" s="1345"/>
      <c r="E29" s="1343"/>
      <c r="F29" s="1346"/>
      <c r="G29" s="1857"/>
      <c r="H29" s="380" t="s">
        <v>1033</v>
      </c>
      <c r="I29" s="381" t="s">
        <v>1478</v>
      </c>
      <c r="J29" s="382">
        <f ca="1">ROUND(J26/(1+F40)^F41,0)</f>
        <v>45820106</v>
      </c>
      <c r="K29" s="383" t="s">
        <v>1479</v>
      </c>
      <c r="L29" s="384"/>
      <c r="M29" s="385">
        <f ca="1">INDIRECT("'数据-取费表'!k"&amp;$G$1)</f>
        <v>3096.45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372955</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ROUND(IF(项目基本情况!B11="自然人",C5*F31,C32+C33+C34),0)</f>
        <v>138911</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IF(项目基本情况!B11="自然人","——",ROUND(C5*F32/(1+'数据-取费表'!C42),0))</f>
        <v>42300</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IF(项目基本情况!B11="自然人","——",IF(D33="按租金收入计税",ROUND(C5*F33,0),IF(D33="按房产原值计税",ROUND(C29*F33*0.7,0),INDIRECT("'数据-取费表'!Aj"&amp;$G$1))))</f>
        <v>95175</v>
      </c>
      <c r="D33" s="1831" t="s">
        <v>3080</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f ca="1">IF(项目基本情况!B11="自然人","——",ROUND(F34*F35,))</f>
        <v>1436</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478.53</v>
      </c>
      <c r="G35" s="1854"/>
      <c r="H35" s="745"/>
      <c r="I35" s="1863"/>
      <c r="J35" s="1864"/>
      <c r="K35" s="1865"/>
      <c r="L35" s="1862"/>
      <c r="M35" s="1862"/>
    </row>
    <row r="36" spans="1:18" ht="18" customHeight="1">
      <c r="A36" s="1355" t="s">
        <v>1039</v>
      </c>
      <c r="B36" s="347" t="s">
        <v>1448</v>
      </c>
      <c r="C36" s="24">
        <f ca="1">ROUND(C29*F36,0)</f>
        <v>208861</v>
      </c>
      <c r="D36" s="1801"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ROUND(C13*F37,0)</f>
        <v>15665</v>
      </c>
      <c r="D37" s="1801" t="s">
        <v>1453</v>
      </c>
      <c r="E37" s="347" t="s">
        <v>1454</v>
      </c>
      <c r="F37" s="376">
        <f ca="1">INDIRECT("'数据-取费表'!Al"&amp;$G$1)</f>
        <v>1.5E-3</v>
      </c>
      <c r="G37" s="1854"/>
      <c r="H37" s="1862"/>
      <c r="I37" s="1863"/>
      <c r="J37" s="1864"/>
      <c r="K37" s="751"/>
      <c r="L37" s="1862"/>
      <c r="M37" s="1862"/>
    </row>
    <row r="38" spans="1:18" ht="18" customHeight="1" thickBot="1">
      <c r="A38" s="1342" t="s">
        <v>1392</v>
      </c>
      <c r="B38" s="1343" t="s">
        <v>1438</v>
      </c>
      <c r="C38" s="1344">
        <f ca="1">ROUND(C5*F38,1)</f>
        <v>9517.5</v>
      </c>
      <c r="D38" s="1345" t="s">
        <v>1458</v>
      </c>
      <c r="E38" s="1343" t="s">
        <v>1454</v>
      </c>
      <c r="F38" s="1339">
        <f ca="1">INDIRECT("'数据-取费表'!Am"&amp;$G$1)</f>
        <v>1.2E-2</v>
      </c>
      <c r="G38" s="1854"/>
      <c r="H38" s="1862"/>
      <c r="I38" s="1863"/>
      <c r="J38" s="1864"/>
      <c r="K38" s="1868"/>
      <c r="L38" s="1862"/>
      <c r="M38" s="1862"/>
    </row>
    <row r="39" spans="1:18" ht="24.6" customHeight="1" thickTop="1">
      <c r="A39" s="1332" t="s">
        <v>1031</v>
      </c>
      <c r="B39" s="1347" t="s">
        <v>1482</v>
      </c>
      <c r="C39" s="355">
        <f ca="1">C5-C30</f>
        <v>420166</v>
      </c>
      <c r="D39" s="1348" t="s">
        <v>1483</v>
      </c>
      <c r="E39" s="1349"/>
      <c r="F39" s="1350"/>
      <c r="G39" s="1854"/>
      <c r="H39" s="1862"/>
      <c r="I39" s="1863"/>
      <c r="J39" s="1864"/>
      <c r="K39" s="1868"/>
      <c r="L39" s="1862"/>
      <c r="M39" s="1862"/>
    </row>
    <row r="40" spans="1:18" ht="18" customHeight="1">
      <c r="A40" s="344" t="s">
        <v>1032</v>
      </c>
      <c r="B40" s="345" t="s">
        <v>1484</v>
      </c>
      <c r="C40" s="346">
        <f ca="1">ROUND(C39*(1-((1+F42)/(1+F40))^F41)/(F40-F42),0)</f>
        <v>690241</v>
      </c>
      <c r="D40" s="370" t="s">
        <v>1468</v>
      </c>
      <c r="E40" s="347" t="s">
        <v>1469</v>
      </c>
      <c r="F40" s="357">
        <f ca="1">INDIRECT("'数据-取费表'!I"&amp;$G$1)</f>
        <v>0.05</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1.75</v>
      </c>
      <c r="G41" s="1854"/>
      <c r="H41" s="732"/>
      <c r="I41" s="1863"/>
      <c r="J41" s="1864"/>
      <c r="K41" s="751"/>
      <c r="L41" s="732"/>
      <c r="M41" s="732"/>
    </row>
    <row r="42" spans="1:18" ht="18" customHeight="1">
      <c r="A42" s="353"/>
      <c r="B42" s="354"/>
      <c r="C42" s="355"/>
      <c r="D42" s="373"/>
      <c r="E42" s="347" t="s">
        <v>1476</v>
      </c>
      <c r="F42" s="357">
        <f ca="1">INDIRECT("'数据-取费表'!v"&amp;$G$1)</f>
        <v>0.01</v>
      </c>
      <c r="G42" s="1854"/>
      <c r="H42" s="732"/>
      <c r="I42" s="1863"/>
      <c r="J42" s="1864"/>
      <c r="K42" s="751"/>
      <c r="L42" s="732"/>
      <c r="M42" s="732"/>
    </row>
    <row r="43" spans="1:18" ht="18" customHeight="1" thickBot="1">
      <c r="A43" s="380" t="s">
        <v>1033</v>
      </c>
      <c r="B43" s="381" t="s">
        <v>1486</v>
      </c>
      <c r="C43" s="382">
        <f ca="1">ROUND(C40/F43,0)</f>
        <v>223</v>
      </c>
      <c r="D43" s="383" t="s">
        <v>1487</v>
      </c>
      <c r="E43" s="384" t="s">
        <v>1488</v>
      </c>
      <c r="F43" s="385">
        <f ca="1">INDIRECT("'数据-取费表'!k"&amp;$G$1)</f>
        <v>3096.45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3063038</v>
      </c>
      <c r="D45" s="1943" t="s">
        <v>1603</v>
      </c>
      <c r="E45" s="1869"/>
      <c r="F45" s="1869"/>
      <c r="O45" s="1872" t="s">
        <v>1518</v>
      </c>
      <c r="P45" s="1842"/>
      <c r="Q45" s="1842"/>
      <c r="R45" s="1842"/>
    </row>
    <row r="46" spans="1:18" s="1845" customFormat="1" ht="13.5" thickBot="1">
      <c r="A46" s="1873" t="s">
        <v>1519</v>
      </c>
      <c r="C46" s="1874">
        <f ca="1">ROUND(C45/10000,0)</f>
        <v>306</v>
      </c>
      <c r="D46" s="1875" t="str">
        <f>C2</f>
        <v>万元</v>
      </c>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3082</v>
      </c>
      <c r="K47" s="1885" t="s">
        <v>1526</v>
      </c>
      <c r="L47" s="1886">
        <f ca="1">INDIRECT("'数据-取费表'!d"&amp;$G$1)</f>
        <v>40</v>
      </c>
      <c r="M47" s="1841" t="str">
        <f>IF(ISNUMBER(FIND("住宅",C1)),"住宅","非住宅")</f>
        <v>非住宅</v>
      </c>
      <c r="O47" s="1887" t="s">
        <v>1040</v>
      </c>
      <c r="P47" s="1888" t="s">
        <v>1527</v>
      </c>
      <c r="Q47" s="1889">
        <f ca="1">C40+J29</f>
        <v>46510347</v>
      </c>
      <c r="R47" s="1889" t="s">
        <v>1528</v>
      </c>
    </row>
    <row r="48" spans="1:18" s="1845" customFormat="1" ht="28.5" thickBot="1">
      <c r="A48" s="1363" t="s">
        <v>1135</v>
      </c>
      <c r="B48" s="345" t="s">
        <v>1400</v>
      </c>
      <c r="C48" s="1820">
        <f ca="1">C49+C53+C55</f>
        <v>3081841</v>
      </c>
      <c r="D48" s="1365"/>
      <c r="E48" s="1366"/>
      <c r="F48" s="1184"/>
      <c r="G48" s="792"/>
      <c r="H48" s="793"/>
      <c r="I48" s="1890" t="s">
        <v>1529</v>
      </c>
      <c r="J48" s="1891" t="s">
        <v>3083</v>
      </c>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ROUND(F49*F51*F50*(1-F52),0)</f>
        <v>3074156</v>
      </c>
      <c r="D49" s="1279" t="s">
        <v>1403</v>
      </c>
      <c r="E49" s="1833" t="s">
        <v>1490</v>
      </c>
      <c r="F49" s="1284">
        <v>3.2</v>
      </c>
      <c r="G49" s="1894"/>
      <c r="H49" s="793"/>
      <c r="I49" s="1890" t="s">
        <v>1533</v>
      </c>
      <c r="J49" s="1895"/>
      <c r="K49" s="1892" t="s">
        <v>1534</v>
      </c>
      <c r="L49" s="1896"/>
      <c r="O49" s="1897" t="s">
        <v>1042</v>
      </c>
      <c r="P49" s="1888" t="s">
        <v>1535</v>
      </c>
      <c r="Q49" s="1889">
        <f ca="1">C29</f>
        <v>13924062</v>
      </c>
      <c r="R49" s="1889" t="s">
        <v>1528</v>
      </c>
    </row>
    <row r="50" spans="1:18" s="1845" customFormat="1" ht="13.5" thickBot="1">
      <c r="A50" s="1198"/>
      <c r="B50" s="1201"/>
      <c r="C50" s="1202"/>
      <c r="D50" s="1175"/>
      <c r="E50" s="1280" t="s">
        <v>1405</v>
      </c>
      <c r="F50" s="1281">
        <f ca="1">F7</f>
        <v>3096.45</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365</v>
      </c>
      <c r="I51" s="1901" t="s">
        <v>1539</v>
      </c>
      <c r="J51" s="1902">
        <f>IF(J49="",J50,J49+J50-YEAR('数据-取费表'!B2))</f>
        <v>60</v>
      </c>
      <c r="K51" s="1903" t="s">
        <v>1540</v>
      </c>
      <c r="L51" s="1904">
        <f ca="1">ROUND(-PV(INDIRECT("'数据-取费表'!h"&amp;$G$1),L48,(C39-C13*C76),0),0)</f>
        <v>-1802086</v>
      </c>
      <c r="M51" s="1905"/>
      <c r="O51" s="1897" t="s">
        <v>1044</v>
      </c>
      <c r="P51" s="1888" t="s">
        <v>1541</v>
      </c>
      <c r="Q51" s="1900">
        <f>J52</f>
        <v>0</v>
      </c>
      <c r="R51" s="1889"/>
    </row>
    <row r="52" spans="1:18" s="1845" customFormat="1" ht="13.5" thickBot="1">
      <c r="A52" s="1199"/>
      <c r="B52" s="1201"/>
      <c r="C52" s="1202"/>
      <c r="D52" s="1175"/>
      <c r="E52" s="1203" t="s">
        <v>1407</v>
      </c>
      <c r="F52" s="1278">
        <v>0.15</v>
      </c>
      <c r="I52" s="1906" t="s">
        <v>1542</v>
      </c>
      <c r="J52" s="1907"/>
      <c r="K52" s="1906" t="s">
        <v>1543</v>
      </c>
      <c r="L52" s="1907"/>
      <c r="O52" s="1897" t="s">
        <v>1045</v>
      </c>
      <c r="P52" s="1888" t="s">
        <v>1544</v>
      </c>
      <c r="Q52" s="1889">
        <f ca="1">J53</f>
        <v>25.55</v>
      </c>
      <c r="R52" s="1889" t="s">
        <v>1545</v>
      </c>
    </row>
    <row r="53" spans="1:18" s="1845" customFormat="1" ht="30.75" customHeight="1" thickBot="1">
      <c r="A53" s="1364" t="s">
        <v>1137</v>
      </c>
      <c r="B53" s="369" t="s">
        <v>1408</v>
      </c>
      <c r="C53" s="361">
        <f ca="1">ROUND(IF(F53="押一",C49/12*F11,IF(F53="押二",C49/12*2*F11,IF(F53="押三",C49/12*3*F11,C54*F11))),0)</f>
        <v>7685</v>
      </c>
      <c r="D53" s="1827" t="s">
        <v>3044</v>
      </c>
      <c r="E53" s="358" t="s">
        <v>1409</v>
      </c>
      <c r="F53" s="1369" t="s">
        <v>3075</v>
      </c>
      <c r="I53" s="1908" t="s">
        <v>1546</v>
      </c>
      <c r="J53" s="1909">
        <f ca="1">IF(M47="住宅",IF(D1="——",MAX(J51,L48),IF(D1="在建（套用方法）",MAX(J51,L48-'数据-取费表'!B24),MAX(J51,L48-'数据-取费表'!B20))),IF(D1="——",MIN(J51,L48),IF(D1="在建（套用方法）",MIN(J51,L48-'数据-取费表'!B24),IF(D1="土地（套用方法）",MIN(J51,L48-'数据-取费表'!B20)))))</f>
        <v>25.55</v>
      </c>
      <c r="K53" s="3186" t="s">
        <v>1547</v>
      </c>
      <c r="L53" s="3187"/>
      <c r="O53" s="1887" t="s">
        <v>1046</v>
      </c>
      <c r="P53" s="1888" t="s">
        <v>1548</v>
      </c>
      <c r="Q53" s="1889">
        <f ca="1">Q47+Q48</f>
        <v>46510347</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c r="O55" s="1880" t="s">
        <v>1521</v>
      </c>
      <c r="P55" s="1881" t="s">
        <v>1522</v>
      </c>
      <c r="Q55" s="1882" t="s">
        <v>1523</v>
      </c>
      <c r="R55" s="1882" t="s">
        <v>1524</v>
      </c>
    </row>
    <row r="56" spans="1:18" s="1845" customFormat="1" ht="36" customHeight="1" thickTop="1" thickBot="1">
      <c r="A56" s="1179">
        <v>2</v>
      </c>
      <c r="B56" s="1180" t="s">
        <v>1413</v>
      </c>
      <c r="C56" s="276">
        <f ca="1">C13</f>
        <v>10443047</v>
      </c>
      <c r="D56" s="1917"/>
      <c r="E56" s="1918"/>
      <c r="F56" s="1910"/>
      <c r="I56" s="1919" t="s">
        <v>1553</v>
      </c>
      <c r="J56" s="1920" t="s">
        <v>3057</v>
      </c>
      <c r="K56" s="1890" t="s">
        <v>1554</v>
      </c>
      <c r="L56" s="1893" t="str">
        <f ca="1">IF(L48&lt;J51,"——",L48-J51)</f>
        <v>——</v>
      </c>
      <c r="O56" s="1887" t="s">
        <v>1040</v>
      </c>
      <c r="P56" s="1888" t="s">
        <v>1527</v>
      </c>
      <c r="Q56" s="1889">
        <f ca="1">C40+J29</f>
        <v>46510347</v>
      </c>
      <c r="R56" s="1889" t="s">
        <v>1528</v>
      </c>
    </row>
    <row r="57" spans="1:18" s="1845" customFormat="1" ht="24.75" thickBot="1">
      <c r="A57" s="1921"/>
      <c r="B57" s="1172" t="s">
        <v>1477</v>
      </c>
      <c r="C57" s="282">
        <f ca="1">C29</f>
        <v>13924062</v>
      </c>
      <c r="D57" s="1922"/>
      <c r="E57" s="1923"/>
      <c r="F57" s="1924"/>
      <c r="I57" s="1925" t="s">
        <v>1555</v>
      </c>
      <c r="J57" s="1926" t="str">
        <f ca="1">IF(OR(M47="住宅",J51&lt;L48,J56="是"),"——",J51-L48)</f>
        <v>——</v>
      </c>
      <c r="K57" s="1890" t="s">
        <v>1604</v>
      </c>
      <c r="L57" s="1893" t="str">
        <f ca="1">IF(L48&lt;J51,"——",IF(L55="比较法",L49,IF(L55="基准地价",L50,L51)))</f>
        <v>——</v>
      </c>
      <c r="O57" s="1887" t="s">
        <v>1041</v>
      </c>
      <c r="P57" s="1888" t="s">
        <v>1605</v>
      </c>
      <c r="Q57" s="1889">
        <f ca="1">L60</f>
        <v>0</v>
      </c>
      <c r="R57" s="1889" t="s">
        <v>1606</v>
      </c>
    </row>
    <row r="58" spans="1:18" s="1845" customFormat="1" ht="24.75" thickBot="1">
      <c r="A58" s="360" t="s">
        <v>1030</v>
      </c>
      <c r="B58" s="1180" t="s">
        <v>1423</v>
      </c>
      <c r="C58" s="361">
        <f ca="1">ROUND(C59+C64+C65+C66,0)</f>
        <v>797130</v>
      </c>
      <c r="D58" s="1182" t="s">
        <v>1424</v>
      </c>
      <c r="E58" s="1183"/>
      <c r="F58" s="1184"/>
      <c r="I58" s="1925" t="s">
        <v>1559</v>
      </c>
      <c r="J58" s="1927" t="e">
        <f ca="1">IF(J55&lt;0.4,0.4,J55)</f>
        <v>#VALUE!</v>
      </c>
      <c r="K58" s="1903" t="s">
        <v>1607</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ROUND(IF(项目基本情况!B11="自然人",C48*F59,C60+C61+C62),0)</f>
        <v>535622</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IF(项目基本情况!B11="自然人","——",ROUND(C48*F60/(1+'数据-取费表'!C42),0))</f>
        <v>164365</v>
      </c>
      <c r="D60" s="1186" t="s">
        <v>1433</v>
      </c>
      <c r="E60" s="1172" t="s">
        <v>1421</v>
      </c>
      <c r="F60" s="377">
        <f t="shared" ref="F60:F66" si="0">F32</f>
        <v>5.6000000000000001E-2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IF(项目基本情况!B11="自然人","——",IF(D61="按租金收入计税",ROUND(C48*F61,0),IF(D61="按房产原值计税",ROUND(C57*F61*0.7,0),INDIRECT("'数据-取费表'!Aj"&amp;$G$1))))</f>
        <v>369821</v>
      </c>
      <c r="D61" s="1831" t="s">
        <v>3080</v>
      </c>
      <c r="E61" s="1172" t="s">
        <v>1493</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1495</v>
      </c>
      <c r="C62" s="25">
        <f ca="1">IF(项目基本情况!B11="自然人","——",ROUND(F62*F63,0))</f>
        <v>1436</v>
      </c>
      <c r="D62" s="1187" t="s">
        <v>1496</v>
      </c>
      <c r="E62" s="1172" t="s">
        <v>1497</v>
      </c>
      <c r="F62" s="371">
        <f t="shared" si="0"/>
        <v>3</v>
      </c>
      <c r="I62" s="1932" t="s">
        <v>1569</v>
      </c>
      <c r="J62" s="1933" t="s">
        <v>1570</v>
      </c>
      <c r="K62" s="1933" t="s">
        <v>1571</v>
      </c>
      <c r="L62" s="1933" t="s">
        <v>1572</v>
      </c>
      <c r="M62" s="1934" t="s">
        <v>1573</v>
      </c>
      <c r="O62" s="1887" t="s">
        <v>1046</v>
      </c>
      <c r="P62" s="1888" t="s">
        <v>1574</v>
      </c>
      <c r="Q62" s="1889">
        <f ca="1">Q56+Q57</f>
        <v>46510347</v>
      </c>
      <c r="R62" s="1889" t="s">
        <v>1047</v>
      </c>
    </row>
    <row r="63" spans="1:18" s="1845" customFormat="1" ht="13.5" thickBot="1">
      <c r="A63" s="372"/>
      <c r="B63" s="1178"/>
      <c r="C63" s="29"/>
      <c r="D63" s="1188"/>
      <c r="E63" s="1172" t="s">
        <v>1498</v>
      </c>
      <c r="F63" s="348">
        <f t="shared" ca="1" si="0"/>
        <v>478.53</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ROUND(C57*F64,0)</f>
        <v>208861</v>
      </c>
      <c r="D64" s="1186" t="s">
        <v>1501</v>
      </c>
      <c r="E64" s="1172" t="s">
        <v>1493</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ROUND(C56*F65,0)</f>
        <v>15665</v>
      </c>
      <c r="D65" s="1186" t="s">
        <v>1453</v>
      </c>
      <c r="E65" s="1172" t="s">
        <v>1454</v>
      </c>
      <c r="F65" s="376">
        <f t="shared" ca="1" si="0"/>
        <v>1.5E-3</v>
      </c>
      <c r="I65" s="1932" t="s">
        <v>1578</v>
      </c>
      <c r="J65" s="1933">
        <v>40</v>
      </c>
      <c r="K65" s="1933">
        <v>30</v>
      </c>
      <c r="L65" s="1933">
        <v>50</v>
      </c>
      <c r="M65" s="1935">
        <v>0.02</v>
      </c>
      <c r="O65" s="1887" t="s">
        <v>1040</v>
      </c>
      <c r="P65" s="1888" t="s">
        <v>1579</v>
      </c>
      <c r="Q65" s="1889">
        <f ca="1">C40+J29</f>
        <v>46510347</v>
      </c>
      <c r="R65" s="1889" t="s">
        <v>1528</v>
      </c>
    </row>
    <row r="66" spans="1:18" s="1845" customFormat="1" ht="16.5" thickBot="1">
      <c r="A66" s="1204" t="s">
        <v>1503</v>
      </c>
      <c r="B66" s="1172" t="s">
        <v>1438</v>
      </c>
      <c r="C66" s="24">
        <f ca="1">ROUND(C48*F66,0)</f>
        <v>36982</v>
      </c>
      <c r="D66" s="1186" t="s">
        <v>1504</v>
      </c>
      <c r="E66" s="1172" t="s">
        <v>1421</v>
      </c>
      <c r="F66" s="357">
        <f t="shared" ca="1" si="0"/>
        <v>1.2E-2</v>
      </c>
      <c r="O66" s="1887" t="s">
        <v>1041</v>
      </c>
      <c r="P66" s="1888" t="s">
        <v>1557</v>
      </c>
      <c r="Q66" s="1889">
        <f ca="1">L60</f>
        <v>0</v>
      </c>
      <c r="R66" s="1889" t="s">
        <v>1580</v>
      </c>
    </row>
    <row r="67" spans="1:18" s="1845" customFormat="1" ht="16.5" thickBot="1">
      <c r="A67" s="1179" t="s">
        <v>1031</v>
      </c>
      <c r="B67" s="1189" t="s">
        <v>1462</v>
      </c>
      <c r="C67" s="361">
        <f ca="1">C48-C58</f>
        <v>2284711</v>
      </c>
      <c r="D67" s="1185" t="s">
        <v>1463</v>
      </c>
      <c r="E67" s="1190"/>
      <c r="F67" s="1191"/>
      <c r="O67" s="1897" t="s">
        <v>1042</v>
      </c>
      <c r="P67" s="1888" t="s">
        <v>1561</v>
      </c>
      <c r="Q67" s="1936">
        <f ca="1">L51</f>
        <v>-1802086</v>
      </c>
      <c r="R67" s="1889" t="s">
        <v>1581</v>
      </c>
    </row>
    <row r="68" spans="1:18" s="1845" customFormat="1" ht="16.5" thickBot="1">
      <c r="A68" s="1169" t="s">
        <v>1032</v>
      </c>
      <c r="B68" s="1170" t="s">
        <v>1484</v>
      </c>
      <c r="C68" s="346">
        <f ca="1">ROUND(C67*(1-((1+F70)/(1+F68))^F69)/(F68-F70),0)</f>
        <v>3753279</v>
      </c>
      <c r="D68" s="1187" t="s">
        <v>1468</v>
      </c>
      <c r="E68" s="1172" t="s">
        <v>1469</v>
      </c>
      <c r="F68" s="357">
        <f ca="1">F40</f>
        <v>0.05</v>
      </c>
      <c r="O68" s="1897" t="s">
        <v>1043</v>
      </c>
      <c r="P68" s="1937" t="s">
        <v>1582</v>
      </c>
      <c r="Q68" s="1889">
        <f ca="1">ROUND(Q69-Q70*Q71,0)</f>
        <v>-101986</v>
      </c>
      <c r="R68" s="1889" t="s">
        <v>1051</v>
      </c>
    </row>
    <row r="69" spans="1:18" s="1845" customFormat="1" ht="13.5" thickBot="1">
      <c r="A69" s="1173"/>
      <c r="B69" s="1174"/>
      <c r="C69" s="351"/>
      <c r="D69" s="1192" t="s">
        <v>1472</v>
      </c>
      <c r="E69" s="1172" t="s">
        <v>1473</v>
      </c>
      <c r="F69" s="379">
        <f ca="1">F41</f>
        <v>1.75</v>
      </c>
      <c r="O69" s="1897" t="s">
        <v>1048</v>
      </c>
      <c r="P69" s="1937" t="s">
        <v>1583</v>
      </c>
      <c r="Q69" s="1889">
        <f ca="1">C39</f>
        <v>420166</v>
      </c>
      <c r="R69" s="1889" t="s">
        <v>1528</v>
      </c>
    </row>
    <row r="70" spans="1:18" s="1845" customFormat="1" ht="13.5" thickBot="1">
      <c r="A70" s="1176"/>
      <c r="B70" s="1177"/>
      <c r="C70" s="355"/>
      <c r="D70" s="1188"/>
      <c r="E70" s="1172" t="s">
        <v>1476</v>
      </c>
      <c r="F70" s="1278">
        <f ca="1">F42</f>
        <v>0.01</v>
      </c>
      <c r="O70" s="1897" t="s">
        <v>1049</v>
      </c>
      <c r="P70" s="1937" t="s">
        <v>1584</v>
      </c>
      <c r="Q70" s="1889">
        <f ca="1">C13</f>
        <v>10443047</v>
      </c>
      <c r="R70" s="1889" t="s">
        <v>1528</v>
      </c>
    </row>
    <row r="71" spans="1:18" s="1845" customFormat="1" ht="13.5" thickBot="1">
      <c r="A71" s="1193" t="s">
        <v>1033</v>
      </c>
      <c r="B71" s="1194" t="s">
        <v>1486</v>
      </c>
      <c r="C71" s="382">
        <f ca="1">ROUND(C68/F71,0)</f>
        <v>1212</v>
      </c>
      <c r="D71" s="1195" t="s">
        <v>1487</v>
      </c>
      <c r="E71" s="1196" t="s">
        <v>1488</v>
      </c>
      <c r="F71" s="385">
        <f ca="1">F43</f>
        <v>3096.45</v>
      </c>
      <c r="O71" s="1897" t="s">
        <v>1050</v>
      </c>
      <c r="P71" s="1937" t="s">
        <v>1585</v>
      </c>
      <c r="Q71" s="1900">
        <f ca="1">C76</f>
        <v>0.05</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522152</v>
      </c>
      <c r="D75" s="1845"/>
      <c r="E75" s="1845"/>
      <c r="F75" s="1845"/>
      <c r="K75" s="1871"/>
      <c r="L75" s="1845"/>
      <c r="O75" s="1887" t="s">
        <v>1046</v>
      </c>
      <c r="P75" s="1888" t="s">
        <v>1548</v>
      </c>
      <c r="Q75" s="1889">
        <f ca="1">Q65+Q66</f>
        <v>46510347</v>
      </c>
      <c r="R75" s="1889" t="s">
        <v>1047</v>
      </c>
    </row>
    <row r="76" spans="1:18">
      <c r="B76" s="388" t="s">
        <v>1506</v>
      </c>
      <c r="C76" s="389">
        <f ca="1">INDIRECT("'数据-取费表'!j"&amp;$G$1)</f>
        <v>0.05</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-0.2430000000000001</v>
      </c>
    </row>
    <row r="80" spans="1:18">
      <c r="B80" s="386" t="s">
        <v>1510</v>
      </c>
      <c r="C80" s="318">
        <f ca="1">ROUND(C75/C39,3)</f>
        <v>1.2430000000000001</v>
      </c>
    </row>
    <row r="81" spans="2:3">
      <c r="B81" s="314" t="s">
        <v>1511</v>
      </c>
      <c r="C81" s="282"/>
    </row>
    <row r="82" spans="2:3">
      <c r="B82" s="317" t="s">
        <v>1512</v>
      </c>
      <c r="C82" s="319">
        <f ca="1">1-C83</f>
        <v>-14.13</v>
      </c>
    </row>
    <row r="83" spans="2:3">
      <c r="B83" s="317" t="s">
        <v>1513</v>
      </c>
      <c r="C83" s="318">
        <f ca="1">ROUND(C13/C40,3)</f>
        <v>15.13</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K83"/>
  <sheetViews>
    <sheetView topLeftCell="A13" zoomScaleNormal="100" zoomScaleSheetLayoutView="90" workbookViewId="0">
      <selection activeCell="L30" sqref="L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3060</v>
      </c>
      <c r="D1" s="1823" t="s">
        <v>70</v>
      </c>
      <c r="E1" s="1824" t="s">
        <v>1386</v>
      </c>
      <c r="F1" s="1286" t="e">
        <f ca="1">J53</f>
        <v>#N/A</v>
      </c>
      <c r="G1" s="1839"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t="e">
        <f ca="1">ROUND(D2/10000,0)</f>
        <v>#N/A</v>
      </c>
      <c r="C2" s="1848" t="s">
        <v>1515</v>
      </c>
      <c r="D2" s="1941" t="e">
        <f ca="1">C40+J29+L46</f>
        <v>#N/A</v>
      </c>
      <c r="E2" s="1849" t="s">
        <v>1591</v>
      </c>
      <c r="F2" s="1850"/>
      <c r="G2" s="1851"/>
      <c r="H2" s="1843"/>
      <c r="I2" s="1843"/>
      <c r="J2" s="1843"/>
      <c r="K2" s="1844"/>
      <c r="L2" s="1843"/>
      <c r="M2" s="1843"/>
    </row>
    <row r="3" spans="1:37" ht="18" customHeight="1" thickBot="1">
      <c r="A3" s="1852" t="s">
        <v>1516</v>
      </c>
      <c r="B3" s="1853">
        <f ca="1">IF(ISERROR(D2/F43),0,ROUND(D2/F43,0))</f>
        <v>0</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t="e">
        <f ca="1">C6+C10+C12</f>
        <v>#N/A</v>
      </c>
      <c r="D5" s="1825" t="s">
        <v>1401</v>
      </c>
      <c r="E5" s="1296"/>
      <c r="F5" s="1297"/>
      <c r="G5" s="1854"/>
      <c r="H5" s="344">
        <v>1</v>
      </c>
      <c r="I5" s="345" t="s">
        <v>1400</v>
      </c>
      <c r="J5" s="1295" t="e">
        <f ca="1">J6+J10+J12</f>
        <v>#N/A</v>
      </c>
      <c r="K5" s="1825" t="s">
        <v>1401</v>
      </c>
      <c r="L5" s="1296"/>
      <c r="M5" s="1297"/>
    </row>
    <row r="6" spans="1:37" ht="18" customHeight="1">
      <c r="A6" s="1294" t="s">
        <v>1035</v>
      </c>
      <c r="B6" s="3183" t="s">
        <v>1402</v>
      </c>
      <c r="C6" s="1299" t="e">
        <f ca="1">ROUND(F6*F8*F7*(1-F9),0)</f>
        <v>#N/A</v>
      </c>
      <c r="D6" s="164" t="s">
        <v>3030</v>
      </c>
      <c r="E6" s="347" t="s">
        <v>1404</v>
      </c>
      <c r="F6" s="348" t="e">
        <f ca="1">INDIRECT("'数据-取费表'!u"&amp;$G$1)</f>
        <v>#N/A</v>
      </c>
      <c r="G6" s="1854"/>
      <c r="H6" s="1294" t="s">
        <v>1035</v>
      </c>
      <c r="I6" s="3183" t="s">
        <v>1402</v>
      </c>
      <c r="J6" s="346" t="e">
        <f ca="1">ROUND(M6*M8*M7*(1-M9),0)</f>
        <v>#N/A</v>
      </c>
      <c r="K6" s="1837" t="s">
        <v>3031</v>
      </c>
      <c r="L6" s="347" t="s">
        <v>1404</v>
      </c>
      <c r="M6" s="348" t="e">
        <f ca="1">INDIRECT("'数据-取费表'!z"&amp;$G$1)</f>
        <v>#N/A</v>
      </c>
    </row>
    <row r="7" spans="1:37" ht="18" customHeight="1">
      <c r="A7" s="1298"/>
      <c r="B7" s="3184"/>
      <c r="C7" s="1300"/>
      <c r="D7" s="352"/>
      <c r="E7" s="2967" t="s">
        <v>1405</v>
      </c>
      <c r="F7" s="348" t="e">
        <f ca="1">IF(INDIRECT("'数据-取费表'!ah"&amp;$G$1)="",INDIRECT("'数据-取费表'!k"&amp;$G$1),INDIRECT("'数据-取费表'!ah"&amp;$G$1))</f>
        <v>#N/A</v>
      </c>
      <c r="G7" s="1854"/>
      <c r="H7" s="349"/>
      <c r="I7" s="3184"/>
      <c r="J7" s="351"/>
      <c r="K7" s="352"/>
      <c r="L7" s="347" t="s">
        <v>1405</v>
      </c>
      <c r="M7" s="348" t="e">
        <f ca="1">F7</f>
        <v>#N/A</v>
      </c>
    </row>
    <row r="8" spans="1:37" ht="18" customHeight="1">
      <c r="A8" s="349"/>
      <c r="B8" s="3184"/>
      <c r="C8" s="351"/>
      <c r="D8" s="352"/>
      <c r="E8" s="347" t="s">
        <v>1406</v>
      </c>
      <c r="F8" s="348" t="e">
        <f ca="1">INDIRECT("'数据-取费表'!ai"&amp;$G$1)</f>
        <v>#N/A</v>
      </c>
      <c r="G8" s="1854"/>
      <c r="H8" s="349"/>
      <c r="I8" s="3184"/>
      <c r="J8" s="351"/>
      <c r="K8" s="352"/>
      <c r="L8" s="347" t="s">
        <v>1406</v>
      </c>
      <c r="M8" s="348" t="e">
        <f ca="1">INDIRECT("'数据-取费表'!ai"&amp;$G$1)</f>
        <v>#N/A</v>
      </c>
    </row>
    <row r="9" spans="1:37" ht="18" customHeight="1">
      <c r="A9" s="349"/>
      <c r="B9" s="3185"/>
      <c r="C9" s="351"/>
      <c r="D9" s="352"/>
      <c r="E9" s="347" t="s">
        <v>1407</v>
      </c>
      <c r="F9" s="357" t="e">
        <f ca="1">INDIRECT("'数据-取费表'!w"&amp;$G$1)</f>
        <v>#N/A</v>
      </c>
      <c r="G9" s="1854"/>
      <c r="H9" s="349"/>
      <c r="I9" s="3185"/>
      <c r="J9" s="351"/>
      <c r="K9" s="352"/>
      <c r="L9" s="358" t="s">
        <v>1407</v>
      </c>
      <c r="M9" s="359" t="e">
        <f ca="1">INDIRECT("'数据-取费表'!ab"&amp;$G$1)</f>
        <v>#N/A</v>
      </c>
    </row>
    <row r="10" spans="1:37" ht="18" customHeight="1">
      <c r="A10" s="1294" t="s">
        <v>1039</v>
      </c>
      <c r="B10" s="1826" t="s">
        <v>1408</v>
      </c>
      <c r="C10" s="361" t="e">
        <f ca="1">ROUND(IF(F10="押一",C6/12*F11,IF(F10="押二",C6/12*2*F11,IF(F10="押三",C6/12*3*F11,C11*F11))),0)</f>
        <v>#N/A</v>
      </c>
      <c r="D10" s="1827" t="s">
        <v>3041</v>
      </c>
      <c r="E10" s="358" t="s">
        <v>1409</v>
      </c>
      <c r="F10" s="1369" t="s">
        <v>3075</v>
      </c>
      <c r="G10" s="1854"/>
      <c r="H10" s="1294" t="s">
        <v>1039</v>
      </c>
      <c r="I10" s="1826" t="s">
        <v>1408</v>
      </c>
      <c r="J10" s="346">
        <f ca="1">ROUND(IF(M10="押一",J6/12*M11,IF(M10="押二",J6/12*2*M11,IF(M10="押三",J6/12*3*M11,J11*M11))),0)</f>
        <v>0</v>
      </c>
      <c r="K10" s="1838" t="s">
        <v>3043</v>
      </c>
      <c r="L10" s="358" t="s">
        <v>1409</v>
      </c>
      <c r="M10" s="1369"/>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t="e">
        <f ca="1">ROUND(C29*F13,0)</f>
        <v>#N/A</v>
      </c>
      <c r="D13" s="1334" t="s">
        <v>1414</v>
      </c>
      <c r="E13" s="1334" t="s">
        <v>1415</v>
      </c>
      <c r="F13" s="1335" t="e">
        <f ca="1">INDIRECT("'数据-取费表'!y"&amp;$G$1)</f>
        <v>#N/A</v>
      </c>
      <c r="G13" s="1854"/>
      <c r="H13" s="1332">
        <v>2</v>
      </c>
      <c r="I13" s="1333" t="s">
        <v>1413</v>
      </c>
      <c r="J13" s="1293" t="e">
        <f ca="1">ROUND(J14*J15,0)</f>
        <v>#N/A</v>
      </c>
      <c r="K13" s="1340" t="s">
        <v>1414</v>
      </c>
      <c r="L13" s="1855"/>
      <c r="M13" s="1856"/>
    </row>
    <row r="14" spans="1:37" ht="18" customHeight="1">
      <c r="A14" s="1204" t="s">
        <v>1034</v>
      </c>
      <c r="B14" s="347" t="s">
        <v>1416</v>
      </c>
      <c r="C14" s="363" t="e">
        <f ca="1">ROUND(INDIRECT("'数据-取费表'!l"&amp;$G$1)*F43+'数据-取费表'!L14*INDIRECT("'数据-取费表'!S"&amp;$G$1),0)</f>
        <v>#N/A</v>
      </c>
      <c r="D14" s="2961" t="s">
        <v>1417</v>
      </c>
      <c r="E14" s="2959"/>
      <c r="F14" s="364"/>
      <c r="G14" s="1854"/>
      <c r="H14" s="1204" t="s">
        <v>1035</v>
      </c>
      <c r="I14" s="347" t="s">
        <v>1418</v>
      </c>
      <c r="J14" s="24" t="e">
        <f ca="1">C29</f>
        <v>#N/A</v>
      </c>
      <c r="K14" s="2966"/>
      <c r="L14" s="982"/>
      <c r="M14" s="983"/>
    </row>
    <row r="15" spans="1:37" s="1861" customFormat="1" ht="18" customHeight="1" thickBot="1">
      <c r="A15" s="1204" t="s">
        <v>1036</v>
      </c>
      <c r="B15" s="347" t="s">
        <v>1419</v>
      </c>
      <c r="C15" s="24" t="e">
        <f ca="1">ROUND(C14*F15,0)</f>
        <v>#N/A</v>
      </c>
      <c r="D15" s="365" t="s">
        <v>1420</v>
      </c>
      <c r="E15" s="365" t="s">
        <v>1421</v>
      </c>
      <c r="F15" s="366">
        <f>'数据-取费表'!B33</f>
        <v>0.04</v>
      </c>
      <c r="G15" s="1857"/>
      <c r="H15" s="1342" t="s">
        <v>1039</v>
      </c>
      <c r="I15" s="1343" t="s">
        <v>1415</v>
      </c>
      <c r="J15" s="1352" t="e">
        <f ca="1">INDIRECT("'数据-取费表'!ad"&amp;$G$1)</f>
        <v>#N/A</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t="e">
        <f ca="1">ROUND(INDIRECT("'数据-取费表'!l"&amp;$G$1)*F43*F16,0)</f>
        <v>#N/A</v>
      </c>
      <c r="D16" s="347" t="s">
        <v>1420</v>
      </c>
      <c r="E16" s="347" t="s">
        <v>1421</v>
      </c>
      <c r="F16" s="367" t="e">
        <f ca="1">IF(INDIRECT("'数据-取费表'!c"&amp;$G$1)="住宅",'数据-取费表'!B34,0)</f>
        <v>#N/A</v>
      </c>
      <c r="G16" s="1854"/>
      <c r="H16" s="1332" t="s">
        <v>1030</v>
      </c>
      <c r="I16" s="1333" t="s">
        <v>1423</v>
      </c>
      <c r="J16" s="355" t="e">
        <f ca="1">ROUND(J17+J22+J23+J24,0)</f>
        <v>#N/A</v>
      </c>
      <c r="K16" s="1340" t="s">
        <v>1424</v>
      </c>
      <c r="L16" s="2962"/>
      <c r="M16" s="1297"/>
    </row>
    <row r="17" spans="1:37" s="1861" customFormat="1" ht="18" customHeight="1">
      <c r="A17" s="1204" t="s">
        <v>1389</v>
      </c>
      <c r="B17" s="347" t="s">
        <v>1425</v>
      </c>
      <c r="C17" s="24" t="e">
        <f ca="1">ROUND(F17*(F43+INDIRECT("'数据-取费表'!S"&amp;$G$1)),0)</f>
        <v>#N/A</v>
      </c>
      <c r="D17" s="347" t="s">
        <v>1426</v>
      </c>
      <c r="E17" s="347" t="s">
        <v>1427</v>
      </c>
      <c r="F17" s="26">
        <f>'数据-取费表'!B35</f>
        <v>200</v>
      </c>
      <c r="G17" s="1857"/>
      <c r="H17" s="1204" t="s">
        <v>1035</v>
      </c>
      <c r="I17" s="347" t="s">
        <v>1428</v>
      </c>
      <c r="J17" s="24" t="e">
        <f ca="1">ROUND(IF(项目基本情况!B11="自然人",J5*M17,J18+J19+J20),0)</f>
        <v>#N/A</v>
      </c>
      <c r="K17" s="2961" t="s">
        <v>1429</v>
      </c>
      <c r="L17" s="2960"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t="e">
        <f ca="1">ROUND(C14*F18,0)</f>
        <v>#N/A</v>
      </c>
      <c r="D18" s="347" t="s">
        <v>1420</v>
      </c>
      <c r="E18" s="347" t="s">
        <v>1421</v>
      </c>
      <c r="F18" s="367">
        <f>'数据-取费表'!B36</f>
        <v>1.4999999999999999E-2</v>
      </c>
      <c r="G18" s="1857"/>
      <c r="H18" s="1204" t="s">
        <v>1034</v>
      </c>
      <c r="I18" s="347" t="s">
        <v>1432</v>
      </c>
      <c r="J18" s="24" t="e">
        <f ca="1">ROUND(J5*M18/(1+'数据-取费表'!C42),0)</f>
        <v>#N/A</v>
      </c>
      <c r="K18" s="2960"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t="e">
        <f ca="1">SUM(C14:C18)</f>
        <v>#N/A</v>
      </c>
      <c r="D19" s="140" t="s">
        <v>1435</v>
      </c>
      <c r="E19" s="2965"/>
      <c r="F19" s="26"/>
      <c r="G19" s="1854"/>
      <c r="H19" s="1204" t="s">
        <v>1036</v>
      </c>
      <c r="I19" s="347" t="s">
        <v>1436</v>
      </c>
      <c r="J19" s="24" t="e">
        <f ca="1">IF(K19="按租金收入计税",ROUND(J5*M19,0),ROUND(C29*M19*0.7,0))</f>
        <v>#N/A</v>
      </c>
      <c r="K19" s="1831" t="s">
        <v>1437</v>
      </c>
      <c r="L19" s="347" t="s">
        <v>1421</v>
      </c>
      <c r="M19" s="367">
        <f>IF(K19="按租金收入计税",'数据-取费表'!B51,'数据-取费表'!B50)</f>
        <v>1.2E-2</v>
      </c>
    </row>
    <row r="20" spans="1:37" s="1861" customFormat="1" ht="18" customHeight="1">
      <c r="A20" s="1204" t="s">
        <v>1039</v>
      </c>
      <c r="B20" s="347" t="s">
        <v>1438</v>
      </c>
      <c r="C20" s="24" t="e">
        <f ca="1">ROUND(C19*F20,0)</f>
        <v>#N/A</v>
      </c>
      <c r="D20" s="369" t="s">
        <v>1439</v>
      </c>
      <c r="E20" s="347" t="s">
        <v>1421</v>
      </c>
      <c r="F20" s="367">
        <f>'数据-取费表'!B37</f>
        <v>0.02</v>
      </c>
      <c r="G20" s="1857"/>
      <c r="H20" s="1204" t="s">
        <v>1388</v>
      </c>
      <c r="I20" s="164" t="s">
        <v>1440</v>
      </c>
      <c r="J20" s="25" t="e">
        <f ca="1">ROUND(M20*M21,0)</f>
        <v>#N/A</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t="e">
        <f ca="1">INDIRECT("'数据-取费表'!r"&amp;$G$1)</f>
        <v>#N/A</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2965"/>
      <c r="F22" s="26"/>
      <c r="G22" s="1854"/>
      <c r="H22" s="1204" t="s">
        <v>1039</v>
      </c>
      <c r="I22" s="347" t="s">
        <v>1448</v>
      </c>
      <c r="J22" s="24" t="e">
        <f ca="1">ROUND(J14*M22,0)</f>
        <v>#N/A</v>
      </c>
      <c r="K22" s="2960" t="s">
        <v>1449</v>
      </c>
      <c r="L22" s="347" t="s">
        <v>1421</v>
      </c>
      <c r="M22" s="374" t="e">
        <f ca="1">INDIRECT("'数据-取费表'!Ak"&amp;$G$1)</f>
        <v>#N/A</v>
      </c>
    </row>
    <row r="23" spans="1:37" s="1861" customFormat="1" ht="18" customHeight="1">
      <c r="A23" s="1204" t="s">
        <v>1034</v>
      </c>
      <c r="B23" s="347" t="s">
        <v>1450</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t="e">
        <f ca="1">ROUND(J13*M23,0)</f>
        <v>#N/A</v>
      </c>
      <c r="K23" s="2960" t="s">
        <v>1453</v>
      </c>
      <c r="L23" s="347" t="s">
        <v>1421</v>
      </c>
      <c r="M23" s="376" t="e">
        <f ca="1">INDIRECT("'数据-取费表'!Al"&amp;$G$1)</f>
        <v>#N/A</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1391</v>
      </c>
      <c r="I24" s="1343" t="s">
        <v>1438</v>
      </c>
      <c r="J24" s="1344" t="e">
        <f ca="1">ROUND(J5*M24,0)</f>
        <v>#N/A</v>
      </c>
      <c r="K24" s="1345" t="s">
        <v>1458</v>
      </c>
      <c r="L24" s="1343" t="s">
        <v>1421</v>
      </c>
      <c r="M24" s="1339" t="e">
        <f ca="1">INDIRECT("'数据-取费表'!Am"&amp;$G$1)</f>
        <v>#N/A</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2965"/>
      <c r="F25" s="26"/>
      <c r="G25" s="1854"/>
      <c r="H25" s="1332" t="s">
        <v>1031</v>
      </c>
      <c r="I25" s="1347" t="s">
        <v>1462</v>
      </c>
      <c r="J25" s="355" t="e">
        <f ca="1">J5-J16</f>
        <v>#N/A</v>
      </c>
      <c r="K25" s="1348" t="s">
        <v>1463</v>
      </c>
      <c r="L25" s="1349"/>
      <c r="M25" s="1350"/>
    </row>
    <row r="26" spans="1:37" ht="18" customHeight="1">
      <c r="A26" s="1204" t="s">
        <v>1034</v>
      </c>
      <c r="B26" s="347" t="s">
        <v>1464</v>
      </c>
      <c r="C26" s="24" t="e">
        <f ca="1">ROUND((C19+C20)*F26,0)</f>
        <v>#N/A</v>
      </c>
      <c r="D26" s="369" t="s">
        <v>1465</v>
      </c>
      <c r="E26" s="358" t="s">
        <v>1466</v>
      </c>
      <c r="F26" s="357" t="e">
        <f ca="1">INDIRECT("'数据-取费表'!q"&amp;$G$1)</f>
        <v>#N/A</v>
      </c>
      <c r="G26" s="1854"/>
      <c r="H26" s="344" t="s">
        <v>1032</v>
      </c>
      <c r="I26" s="345" t="s">
        <v>1467</v>
      </c>
      <c r="J26" s="346" t="e">
        <f ca="1">IF(J5&lt;&gt;0,ROUND(J25*(1-((1+M28)/(1+M26))^M27)/(M26-M28),0),0)</f>
        <v>#N/A</v>
      </c>
      <c r="K26" s="370" t="s">
        <v>1468</v>
      </c>
      <c r="L26" s="347" t="s">
        <v>1469</v>
      </c>
      <c r="M26" s="357" t="e">
        <f ca="1">INDIRECT("'数据-取费表'!I"&amp;$G$1)</f>
        <v>#N/A</v>
      </c>
    </row>
    <row r="27" spans="1:37" ht="18" customHeight="1">
      <c r="A27" s="1204" t="s">
        <v>1036</v>
      </c>
      <c r="B27" s="347" t="s">
        <v>1470</v>
      </c>
      <c r="C27" s="24" t="e">
        <f ca="1">ROUND(F21*F26,4)</f>
        <v>#N/A</v>
      </c>
      <c r="D27" s="369" t="s">
        <v>1471</v>
      </c>
      <c r="E27" s="365"/>
      <c r="F27" s="366"/>
      <c r="G27" s="1854"/>
      <c r="H27" s="349"/>
      <c r="I27" s="350"/>
      <c r="J27" s="351"/>
      <c r="K27" s="378" t="s">
        <v>1472</v>
      </c>
      <c r="L27" s="347" t="s">
        <v>1473</v>
      </c>
      <c r="M27" s="379" t="e">
        <f ca="1">INDIRECT("'数据-取费表'!ag"&amp;$G$1)</f>
        <v>#N/A</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t="e">
        <f ca="1">INDIRECT("'数据-取费表'!aa"&amp;$G$1)</f>
        <v>#N/A</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t="e">
        <f ca="1">ROUND((C19+C20+C23+C26)/(1-F21-C24-C27-C28),0)</f>
        <v>#N/A</v>
      </c>
      <c r="D29" s="1345"/>
      <c r="E29" s="1343"/>
      <c r="F29" s="1346"/>
      <c r="G29" s="1857"/>
      <c r="H29" s="380" t="s">
        <v>1033</v>
      </c>
      <c r="I29" s="381" t="s">
        <v>1478</v>
      </c>
      <c r="J29" s="382" t="e">
        <f ca="1">ROUND(J26/(1+F40)^F41,0)</f>
        <v>#N/A</v>
      </c>
      <c r="K29" s="383" t="s">
        <v>1479</v>
      </c>
      <c r="L29" s="384"/>
      <c r="M29" s="385" t="e">
        <f ca="1">INDIRECT("'数据-取费表'!k"&amp;$G$1)</f>
        <v>#N/A</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t="e">
        <f ca="1">ROUND(C31+C36+C37+C38,0)</f>
        <v>#N/A</v>
      </c>
      <c r="D30" s="1340" t="s">
        <v>1424</v>
      </c>
      <c r="E30" s="2962"/>
      <c r="F30" s="1297"/>
      <c r="G30" s="1854"/>
      <c r="H30" s="745"/>
      <c r="I30" s="746"/>
      <c r="J30" s="747"/>
      <c r="K30" s="748"/>
      <c r="L30" s="749"/>
      <c r="M30" s="750"/>
    </row>
    <row r="31" spans="1:37" ht="18" customHeight="1">
      <c r="A31" s="1204" t="s">
        <v>1035</v>
      </c>
      <c r="B31" s="347" t="s">
        <v>1428</v>
      </c>
      <c r="C31" s="24" t="e">
        <f ca="1">ROUND(IF(项目基本情况!B11="自然人",C5*F31,C32+C33+C34),0)</f>
        <v>#N/A</v>
      </c>
      <c r="D31" s="2961" t="s">
        <v>1429</v>
      </c>
      <c r="E31" s="2960"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t="e">
        <f ca="1">IF(项目基本情况!B11="自然人","——",ROUND(C5*F32/(1+'数据-取费表'!C42),0))</f>
        <v>#N/A</v>
      </c>
      <c r="D32" s="2960" t="s">
        <v>1433</v>
      </c>
      <c r="E32" s="347" t="s">
        <v>1421</v>
      </c>
      <c r="F32" s="377">
        <f>'数据-取费表'!B41</f>
        <v>5.6000000000000001E-2</v>
      </c>
      <c r="G32" s="1854"/>
      <c r="H32" s="745"/>
      <c r="I32" s="746"/>
      <c r="J32" s="747"/>
      <c r="K32" s="748"/>
      <c r="L32" s="749"/>
      <c r="M32" s="750"/>
    </row>
    <row r="33" spans="1:18" ht="18" customHeight="1">
      <c r="A33" s="1204" t="s">
        <v>1036</v>
      </c>
      <c r="B33" s="347" t="s">
        <v>1436</v>
      </c>
      <c r="C33" s="24" t="e">
        <f ca="1">IF(项目基本情况!B11="自然人","——",IF(D33="按租金收入计税",ROUND(C5*F33,0),IF(D33="按房产原值计税",ROUND(C29*F33*0.7,0),INDIRECT("'数据-取费表'!Aj"&amp;$G$1))))</f>
        <v>#N/A</v>
      </c>
      <c r="D33" s="1831" t="s">
        <v>3080</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t="e">
        <f ca="1">IF(项目基本情况!B11="自然人","——",ROUND(F34*F35,))</f>
        <v>#N/A</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t="e">
        <f ca="1">INDIRECT("'数据-取费表'!r"&amp;$G$1)</f>
        <v>#N/A</v>
      </c>
      <c r="G35" s="1854"/>
      <c r="H35" s="745"/>
      <c r="I35" s="1863"/>
      <c r="J35" s="1864"/>
      <c r="K35" s="1865"/>
      <c r="L35" s="1862"/>
      <c r="M35" s="1862"/>
    </row>
    <row r="36" spans="1:18" ht="18" customHeight="1">
      <c r="A36" s="1355" t="s">
        <v>1039</v>
      </c>
      <c r="B36" s="347" t="s">
        <v>1448</v>
      </c>
      <c r="C36" s="24" t="e">
        <f ca="1">ROUND(C29*F36,0)</f>
        <v>#N/A</v>
      </c>
      <c r="D36" s="2960" t="s">
        <v>1481</v>
      </c>
      <c r="E36" s="347" t="s">
        <v>1421</v>
      </c>
      <c r="F36" s="374" t="e">
        <f ca="1">INDIRECT("'数据-取费表'!Ak"&amp;$G$1)</f>
        <v>#N/A</v>
      </c>
      <c r="G36" s="1854"/>
      <c r="H36" s="1862"/>
      <c r="I36" s="1863"/>
      <c r="J36" s="1864"/>
      <c r="K36" s="751"/>
      <c r="L36" s="1862"/>
      <c r="M36" s="1862"/>
    </row>
    <row r="37" spans="1:18" ht="18" customHeight="1">
      <c r="A37" s="1204" t="s">
        <v>1075</v>
      </c>
      <c r="B37" s="347" t="s">
        <v>1452</v>
      </c>
      <c r="C37" s="24" t="e">
        <f ca="1">ROUND(C13*F37,0)</f>
        <v>#N/A</v>
      </c>
      <c r="D37" s="2960" t="s">
        <v>1453</v>
      </c>
      <c r="E37" s="347" t="s">
        <v>1421</v>
      </c>
      <c r="F37" s="376" t="e">
        <f ca="1">INDIRECT("'数据-取费表'!Al"&amp;$G$1)</f>
        <v>#N/A</v>
      </c>
      <c r="G37" s="1854"/>
      <c r="H37" s="1862"/>
      <c r="I37" s="1863"/>
      <c r="J37" s="1864"/>
      <c r="K37" s="751"/>
      <c r="L37" s="1862"/>
      <c r="M37" s="1862"/>
    </row>
    <row r="38" spans="1:18" ht="18" customHeight="1" thickBot="1">
      <c r="A38" s="1342" t="s">
        <v>1391</v>
      </c>
      <c r="B38" s="1343" t="s">
        <v>1438</v>
      </c>
      <c r="C38" s="1344" t="e">
        <f ca="1">ROUND(C5*F38,1)</f>
        <v>#N/A</v>
      </c>
      <c r="D38" s="1345" t="s">
        <v>1458</v>
      </c>
      <c r="E38" s="1343" t="s">
        <v>1421</v>
      </c>
      <c r="F38" s="1339" t="e">
        <f ca="1">INDIRECT("'数据-取费表'!Am"&amp;$G$1)</f>
        <v>#N/A</v>
      </c>
      <c r="G38" s="1854"/>
      <c r="H38" s="1862"/>
      <c r="I38" s="1863"/>
      <c r="J38" s="1864"/>
      <c r="K38" s="1868"/>
      <c r="L38" s="1862"/>
      <c r="M38" s="1862"/>
    </row>
    <row r="39" spans="1:18" ht="24.6" customHeight="1" thickTop="1">
      <c r="A39" s="1332" t="s">
        <v>1031</v>
      </c>
      <c r="B39" s="1347" t="s">
        <v>1462</v>
      </c>
      <c r="C39" s="355" t="e">
        <f ca="1">C5-C30</f>
        <v>#N/A</v>
      </c>
      <c r="D39" s="1348" t="s">
        <v>1463</v>
      </c>
      <c r="E39" s="1349"/>
      <c r="F39" s="1350"/>
      <c r="G39" s="1854"/>
      <c r="H39" s="1862"/>
      <c r="I39" s="1863"/>
      <c r="J39" s="1864"/>
      <c r="K39" s="1868"/>
      <c r="L39" s="1862"/>
      <c r="M39" s="1862"/>
    </row>
    <row r="40" spans="1:18" ht="18" customHeight="1">
      <c r="A40" s="344" t="s">
        <v>1032</v>
      </c>
      <c r="B40" s="345" t="s">
        <v>1484</v>
      </c>
      <c r="C40" s="346" t="e">
        <f ca="1">ROUND(C39*(1-((1+F42)/(1+F40))^F41)/(F40-F42),0)</f>
        <v>#N/A</v>
      </c>
      <c r="D40" s="370" t="s">
        <v>1468</v>
      </c>
      <c r="E40" s="347" t="s">
        <v>1469</v>
      </c>
      <c r="F40" s="357" t="e">
        <f ca="1">INDIRECT("'数据-取费表'!I"&amp;$G$1)</f>
        <v>#N/A</v>
      </c>
      <c r="G40" s="1854"/>
      <c r="H40" s="1842"/>
      <c r="I40" s="1863"/>
      <c r="J40" s="1864"/>
      <c r="K40" s="1868"/>
      <c r="L40" s="1842"/>
      <c r="M40" s="1842"/>
    </row>
    <row r="41" spans="1:18" ht="18" customHeight="1">
      <c r="A41" s="349"/>
      <c r="B41" s="350"/>
      <c r="C41" s="351"/>
      <c r="D41" s="378" t="s">
        <v>1485</v>
      </c>
      <c r="E41" s="347" t="s">
        <v>1473</v>
      </c>
      <c r="F41" s="379" t="e">
        <f ca="1">IF(INDIRECT("'数据-取费表'!af"&amp;$G$1)=0,INDIRECT("'数据-取费表'!ae"&amp;$G$1),INDIRECT("'数据-取费表'!af"&amp;$G$1))</f>
        <v>#N/A</v>
      </c>
      <c r="G41" s="1854"/>
      <c r="H41" s="732"/>
      <c r="I41" s="1863"/>
      <c r="J41" s="1864"/>
      <c r="K41" s="751"/>
      <c r="L41" s="732"/>
      <c r="M41" s="732"/>
    </row>
    <row r="42" spans="1:18" ht="18" customHeight="1">
      <c r="A42" s="353"/>
      <c r="B42" s="354"/>
      <c r="C42" s="355"/>
      <c r="D42" s="373"/>
      <c r="E42" s="347" t="s">
        <v>1476</v>
      </c>
      <c r="F42" s="357" t="e">
        <f ca="1">INDIRECT("'数据-取费表'!v"&amp;$G$1)</f>
        <v>#N/A</v>
      </c>
      <c r="G42" s="1854"/>
      <c r="H42" s="732"/>
      <c r="I42" s="1863"/>
      <c r="J42" s="1864"/>
      <c r="K42" s="751"/>
      <c r="L42" s="732"/>
      <c r="M42" s="732"/>
    </row>
    <row r="43" spans="1:18" ht="18" customHeight="1" thickBot="1">
      <c r="A43" s="380" t="s">
        <v>1033</v>
      </c>
      <c r="B43" s="381" t="s">
        <v>1486</v>
      </c>
      <c r="C43" s="382" t="e">
        <f ca="1">ROUND(C40/F43,0)</f>
        <v>#N/A</v>
      </c>
      <c r="D43" s="383" t="s">
        <v>1487</v>
      </c>
      <c r="E43" s="384" t="s">
        <v>1488</v>
      </c>
      <c r="F43" s="385" t="e">
        <f ca="1">INDIRECT("'数据-取费表'!k"&amp;$G$1)</f>
        <v>#N/A</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#N/A</v>
      </c>
      <c r="D45" s="1943" t="s">
        <v>1603</v>
      </c>
      <c r="E45" s="1869"/>
      <c r="F45" s="1869"/>
      <c r="O45" s="1872" t="s">
        <v>1518</v>
      </c>
      <c r="P45" s="1842"/>
      <c r="Q45" s="1842"/>
      <c r="R45" s="1842"/>
    </row>
    <row r="46" spans="1:18" s="1845" customFormat="1" ht="13.5" thickBot="1">
      <c r="A46" s="1873" t="s">
        <v>1519</v>
      </c>
      <c r="C46" s="1874" t="e">
        <f ca="1">ROUND(C45/10000,0)</f>
        <v>#N/A</v>
      </c>
      <c r="D46" s="1875" t="str">
        <f>C2</f>
        <v>万元</v>
      </c>
      <c r="I46" s="1876" t="s">
        <v>1520</v>
      </c>
      <c r="J46" s="1877"/>
      <c r="K46" s="1878"/>
      <c r="L46" s="1879" t="e">
        <f ca="1">IF(M47="住宅",0,IF(L48&gt;J51,L60,J60))</f>
        <v>#N/A</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3082</v>
      </c>
      <c r="K47" s="1885" t="s">
        <v>1526</v>
      </c>
      <c r="L47" s="1886" t="e">
        <f ca="1">INDIRECT("'数据-取费表'!d"&amp;$G$1)</f>
        <v>#N/A</v>
      </c>
      <c r="M47" s="1841" t="str">
        <f>IF(ISNUMBER(FIND("住宅",C1)),"住宅","非住宅")</f>
        <v>非住宅</v>
      </c>
      <c r="O47" s="1887" t="s">
        <v>1040</v>
      </c>
      <c r="P47" s="1888" t="s">
        <v>1527</v>
      </c>
      <c r="Q47" s="1889" t="e">
        <f ca="1">C40+J29</f>
        <v>#N/A</v>
      </c>
      <c r="R47" s="1889" t="s">
        <v>1528</v>
      </c>
    </row>
    <row r="48" spans="1:18" s="1845" customFormat="1" ht="28.5" thickBot="1">
      <c r="A48" s="1363" t="s">
        <v>1135</v>
      </c>
      <c r="B48" s="345" t="s">
        <v>1400</v>
      </c>
      <c r="C48" s="2964" t="e">
        <f ca="1">C49+C53+C55</f>
        <v>#N/A</v>
      </c>
      <c r="D48" s="1365"/>
      <c r="E48" s="1366"/>
      <c r="F48" s="1184"/>
      <c r="G48" s="792"/>
      <c r="H48" s="793"/>
      <c r="I48" s="1890" t="s">
        <v>1529</v>
      </c>
      <c r="J48" s="1891" t="s">
        <v>3083</v>
      </c>
      <c r="K48" s="1892" t="s">
        <v>1530</v>
      </c>
      <c r="L48" s="1893" t="e">
        <f ca="1">INDIRECT("'数据-取费表'!f"&amp;$G$1)</f>
        <v>#N/A</v>
      </c>
      <c r="O48" s="1887" t="s">
        <v>1041</v>
      </c>
      <c r="P48" s="1888" t="s">
        <v>1531</v>
      </c>
      <c r="Q48" s="1889" t="e">
        <f ca="1">J60</f>
        <v>#N/A</v>
      </c>
      <c r="R48" s="1889" t="s">
        <v>1532</v>
      </c>
    </row>
    <row r="49" spans="1:18" s="1845" customFormat="1" ht="13.5" thickBot="1">
      <c r="A49" s="1197" t="s">
        <v>1136</v>
      </c>
      <c r="B49" s="1832" t="s">
        <v>1489</v>
      </c>
      <c r="C49" s="1367" t="e">
        <f ca="1">ROUND(F49*F51*F50*(1-F52),0)</f>
        <v>#N/A</v>
      </c>
      <c r="D49" s="1279" t="s">
        <v>1403</v>
      </c>
      <c r="E49" s="1833" t="s">
        <v>1490</v>
      </c>
      <c r="F49" s="1284"/>
      <c r="G49" s="1894"/>
      <c r="H49" s="793"/>
      <c r="I49" s="1890" t="s">
        <v>1533</v>
      </c>
      <c r="J49" s="1895"/>
      <c r="K49" s="1892" t="s">
        <v>1534</v>
      </c>
      <c r="L49" s="1896"/>
      <c r="O49" s="1897" t="s">
        <v>1042</v>
      </c>
      <c r="P49" s="1888" t="s">
        <v>1535</v>
      </c>
      <c r="Q49" s="1889" t="e">
        <f ca="1">C29</f>
        <v>#N/A</v>
      </c>
      <c r="R49" s="1889" t="s">
        <v>1528</v>
      </c>
    </row>
    <row r="50" spans="1:18" s="1845" customFormat="1" ht="13.5" thickBot="1">
      <c r="A50" s="1198"/>
      <c r="B50" s="1201"/>
      <c r="C50" s="1202"/>
      <c r="D50" s="1175"/>
      <c r="E50" s="1280" t="s">
        <v>1405</v>
      </c>
      <c r="F50" s="1281" t="e">
        <f ca="1">F7</f>
        <v>#N/A</v>
      </c>
      <c r="H50" s="793"/>
      <c r="I50" s="1890" t="s">
        <v>1536</v>
      </c>
      <c r="J50" s="1898">
        <f>SUMPRODUCT((I63:I65=J47)*(J62:L62=J48)*(J63:L65))</f>
        <v>60</v>
      </c>
      <c r="K50" s="1892" t="s">
        <v>1537</v>
      </c>
      <c r="L50" s="1896"/>
      <c r="M50" s="1899"/>
      <c r="O50" s="1897" t="s">
        <v>1043</v>
      </c>
      <c r="P50" s="1888" t="s">
        <v>1538</v>
      </c>
      <c r="Q50" s="1900" t="e">
        <f ca="1">J58</f>
        <v>#N/A</v>
      </c>
      <c r="R50" s="1889"/>
    </row>
    <row r="51" spans="1:18" s="1845" customFormat="1" ht="13.5" thickBot="1">
      <c r="A51" s="1199"/>
      <c r="B51" s="1201"/>
      <c r="C51" s="1202"/>
      <c r="D51" s="1175"/>
      <c r="E51" s="1203" t="s">
        <v>1406</v>
      </c>
      <c r="F51" s="348" t="e">
        <f ca="1">F8</f>
        <v>#N/A</v>
      </c>
      <c r="I51" s="1901" t="s">
        <v>1539</v>
      </c>
      <c r="J51" s="1902">
        <f>IF(J49="",J50,J49+J50-YEAR('数据-取费表'!B2))</f>
        <v>60</v>
      </c>
      <c r="K51" s="1903" t="s">
        <v>1540</v>
      </c>
      <c r="L51" s="1904" t="e">
        <f ca="1">ROUND(-PV(INDIRECT("'数据-取费表'!h"&amp;$G$1),L48,(C39-C13*C76),0),0)</f>
        <v>#N/A</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t="e">
        <f ca="1">J53</f>
        <v>#N/A</v>
      </c>
      <c r="R52" s="1889" t="s">
        <v>1545</v>
      </c>
    </row>
    <row r="53" spans="1:18" s="1845" customFormat="1" ht="30.75" customHeight="1" thickBot="1">
      <c r="A53" s="1364" t="s">
        <v>1137</v>
      </c>
      <c r="B53" s="369" t="s">
        <v>1408</v>
      </c>
      <c r="C53" s="361">
        <f ca="1">ROUND(IF(F53="押一",C49/12*F11,IF(F53="押二",C49/12*2*F11,IF(F53="押三",C49/12*3*F11,C54*F11))),0)</f>
        <v>0</v>
      </c>
      <c r="D53" s="1827" t="s">
        <v>3044</v>
      </c>
      <c r="E53" s="358" t="s">
        <v>1409</v>
      </c>
      <c r="F53" s="1369"/>
      <c r="I53" s="1908" t="s">
        <v>1546</v>
      </c>
      <c r="J53" s="1909" t="e">
        <f ca="1">IF(M47="住宅",IF(D1="——",MAX(J51,L48),IF(D1="在建（套用方法）",MAX(J51,L48-'数据-取费表'!B24),MAX(J51,L48-'数据-取费表'!B20))),IF(D1="——",MIN(J51,L48),IF(D1="在建（套用方法）",MIN(J51,L48-'数据-取费表'!B24),IF(D1="土地（套用方法）",MIN(J51,L48-'数据-取费表'!B20)))))</f>
        <v>#N/A</v>
      </c>
      <c r="K53" s="3186" t="s">
        <v>1547</v>
      </c>
      <c r="L53" s="3187"/>
      <c r="O53" s="1887" t="s">
        <v>1046</v>
      </c>
      <c r="P53" s="1888" t="s">
        <v>1548</v>
      </c>
      <c r="Q53" s="1889" t="e">
        <f ca="1">Q47+Q48</f>
        <v>#N/A</v>
      </c>
      <c r="R53" s="1889" t="s">
        <v>1047</v>
      </c>
    </row>
    <row r="54" spans="1:18" s="1845" customFormat="1" ht="13.5" thickBot="1">
      <c r="A54" s="1197"/>
      <c r="B54" s="1944" t="s">
        <v>1602</v>
      </c>
      <c r="C54" s="1181"/>
      <c r="D54" s="1827"/>
      <c r="E54" s="2963"/>
      <c r="F54" s="1910"/>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2"/>
      <c r="K54" s="1912"/>
      <c r="L54" s="1912"/>
      <c r="M54" s="1894"/>
      <c r="O54" s="1872" t="s">
        <v>1549</v>
      </c>
      <c r="P54" s="1842"/>
      <c r="Q54" s="1842"/>
      <c r="R54" s="1842"/>
    </row>
    <row r="55" spans="1:18" s="1845" customFormat="1" ht="13.5" thickBot="1">
      <c r="A55" s="1336" t="s">
        <v>1075</v>
      </c>
      <c r="B55" s="1830" t="s">
        <v>1412</v>
      </c>
      <c r="C55" s="1337"/>
      <c r="D55" s="1827"/>
      <c r="E55" s="2963"/>
      <c r="F55" s="1910"/>
      <c r="I55" s="1913" t="s">
        <v>1550</v>
      </c>
      <c r="J55" s="1914" t="e">
        <f ca="1">ROUND(IF(J47="钢混",J57/J50,1-(1-2%)*(J50-J57)/J50),3)</f>
        <v>#N/A</v>
      </c>
      <c r="K55" s="1915" t="s">
        <v>1551</v>
      </c>
      <c r="L55" s="1916"/>
      <c r="O55" s="1880" t="s">
        <v>1521</v>
      </c>
      <c r="P55" s="1881" t="s">
        <v>1522</v>
      </c>
      <c r="Q55" s="1882" t="s">
        <v>1523</v>
      </c>
      <c r="R55" s="1882" t="s">
        <v>1524</v>
      </c>
    </row>
    <row r="56" spans="1:18" s="1845" customFormat="1" ht="36" customHeight="1" thickTop="1" thickBot="1">
      <c r="A56" s="1179">
        <v>2</v>
      </c>
      <c r="B56" s="1180" t="s">
        <v>1413</v>
      </c>
      <c r="C56" s="276" t="e">
        <f ca="1">C13</f>
        <v>#N/A</v>
      </c>
      <c r="D56" s="1917"/>
      <c r="E56" s="1918"/>
      <c r="F56" s="1910"/>
      <c r="I56" s="1919" t="s">
        <v>1553</v>
      </c>
      <c r="J56" s="1920" t="s">
        <v>3057</v>
      </c>
      <c r="K56" s="1890" t="s">
        <v>1554</v>
      </c>
      <c r="L56" s="1893" t="e">
        <f ca="1">IF(L48&lt;J51,"——",L48-J51)</f>
        <v>#N/A</v>
      </c>
      <c r="O56" s="1887" t="s">
        <v>1040</v>
      </c>
      <c r="P56" s="1888" t="s">
        <v>1527</v>
      </c>
      <c r="Q56" s="1889" t="e">
        <f ca="1">C40+J29</f>
        <v>#N/A</v>
      </c>
      <c r="R56" s="1889" t="s">
        <v>1528</v>
      </c>
    </row>
    <row r="57" spans="1:18" s="1845" customFormat="1" ht="24.75" thickBot="1">
      <c r="A57" s="1921"/>
      <c r="B57" s="1172" t="s">
        <v>1477</v>
      </c>
      <c r="C57" s="282" t="e">
        <f ca="1">C29</f>
        <v>#N/A</v>
      </c>
      <c r="D57" s="1922"/>
      <c r="E57" s="1923"/>
      <c r="F57" s="1924"/>
      <c r="I57" s="1925" t="s">
        <v>1555</v>
      </c>
      <c r="J57" s="1926" t="e">
        <f ca="1">IF(OR(M47="住宅",J51&lt;L48,J56="是"),"——",J51-L48)</f>
        <v>#N/A</v>
      </c>
      <c r="K57" s="1890" t="s">
        <v>1604</v>
      </c>
      <c r="L57" s="1893" t="e">
        <f ca="1">IF(L48&lt;J51,"——",IF(L55="比较法",L49,IF(L55="基准地价",L50,L51)))</f>
        <v>#N/A</v>
      </c>
      <c r="O57" s="1887" t="s">
        <v>1041</v>
      </c>
      <c r="P57" s="1888" t="s">
        <v>1557</v>
      </c>
      <c r="Q57" s="1889" t="e">
        <f ca="1">L60</f>
        <v>#N/A</v>
      </c>
      <c r="R57" s="1889" t="s">
        <v>1558</v>
      </c>
    </row>
    <row r="58" spans="1:18" s="1845" customFormat="1" ht="24.75" thickBot="1">
      <c r="A58" s="360" t="s">
        <v>1030</v>
      </c>
      <c r="B58" s="1180" t="s">
        <v>1423</v>
      </c>
      <c r="C58" s="361" t="e">
        <f ca="1">ROUND(C59+C64+C65+C66,0)</f>
        <v>#N/A</v>
      </c>
      <c r="D58" s="1182" t="s">
        <v>1424</v>
      </c>
      <c r="E58" s="1183"/>
      <c r="F58" s="1184"/>
      <c r="I58" s="1925" t="s">
        <v>1559</v>
      </c>
      <c r="J58" s="1927" t="e">
        <f ca="1">IF(J55&lt;0.4,0.4,J55)</f>
        <v>#N/A</v>
      </c>
      <c r="K58" s="1903" t="s">
        <v>1607</v>
      </c>
      <c r="L58" s="1893" t="e">
        <f ca="1">ROUND(POWER(1+L52,L47-L48)*(POWER(1+L52,L48)-1)/(POWER(1+L52,L47)-1),4)</f>
        <v>#N/A</v>
      </c>
      <c r="O58" s="1897" t="s">
        <v>1042</v>
      </c>
      <c r="P58" s="1888" t="s">
        <v>1561</v>
      </c>
      <c r="Q58" s="1889">
        <f>IF(L55="比较法",L49,IF(L55="基准地价",L50,0))</f>
        <v>0</v>
      </c>
      <c r="R58" s="1889" t="s">
        <v>1528</v>
      </c>
    </row>
    <row r="59" spans="1:18" s="1845" customFormat="1" ht="24.75" thickBot="1">
      <c r="A59" s="1204" t="s">
        <v>1035</v>
      </c>
      <c r="B59" s="1172" t="s">
        <v>1428</v>
      </c>
      <c r="C59" s="24" t="e">
        <f ca="1">ROUND(IF(项目基本情况!B11="自然人",C48*F59,C60+C61+C62),0)</f>
        <v>#N/A</v>
      </c>
      <c r="D59" s="1185" t="s">
        <v>1429</v>
      </c>
      <c r="E59" s="1186" t="s">
        <v>1430</v>
      </c>
      <c r="F59" s="368" t="str">
        <f ca="1">IF(项目基本情况!B11="企业","",IF(INDIRECT("'数据-取费表'!c"&amp;$G$1)="住宅",5%,IF(F49*F50*F51/12/(1+'数据-取费表'!C42)&gt;20000,12%,7%)))</f>
        <v/>
      </c>
      <c r="I59" s="1925" t="s">
        <v>1562</v>
      </c>
      <c r="J59" s="1926" t="e">
        <f ca="1">IF(OR(M47="住宅",J51&lt;L48,J56="是"),"——",ROUND(C29*J58,0))</f>
        <v>#N/A</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#N/A</v>
      </c>
      <c r="M59" s="1842" t="e">
        <f ca="1">ROUND(POWER(1+L52,L47-(J51+'数据-取费表'!B24))*(POWER(1+L52,(J51+'数据-取费表'!B24))-1)/(POWER(1+L52,L47)-1),4)</f>
        <v>#N/A</v>
      </c>
      <c r="N59" s="1842" t="e">
        <f ca="1">ROUND(POWER(1+L52,L47-(J51+'数据-取费表'!B20))*(POWER(1+L52,(J51+'数据-取费表'!B20))-1)/(POWER(1+L52,L47)-1),4)</f>
        <v>#N/A</v>
      </c>
      <c r="O59" s="1897" t="s">
        <v>1043</v>
      </c>
      <c r="P59" s="1888" t="s">
        <v>1563</v>
      </c>
      <c r="Q59" s="1900">
        <f>L52</f>
        <v>0</v>
      </c>
      <c r="R59" s="1889"/>
    </row>
    <row r="60" spans="1:18" s="1845" customFormat="1" ht="16.5" thickBot="1">
      <c r="A60" s="1204" t="s">
        <v>1034</v>
      </c>
      <c r="B60" s="1172" t="s">
        <v>1432</v>
      </c>
      <c r="C60" s="24" t="e">
        <f ca="1">IF(项目基本情况!B11="自然人","——",ROUND(C48*F60/(1+'数据-取费表'!C42),0))</f>
        <v>#N/A</v>
      </c>
      <c r="D60" s="1186" t="s">
        <v>1433</v>
      </c>
      <c r="E60" s="1172" t="s">
        <v>1421</v>
      </c>
      <c r="F60" s="377">
        <f t="shared" ref="F60:F66" si="0">F32</f>
        <v>5.6000000000000001E-2</v>
      </c>
      <c r="I60" s="1928" t="s">
        <v>1564</v>
      </c>
      <c r="J60" s="1929" t="e">
        <f ca="1">IF(OR(M47="住宅",J51&lt;L48,J56="是"),"0",ROUND(J59/(1+J52)^J53,0))</f>
        <v>#N/A</v>
      </c>
      <c r="K60" s="1930" t="s">
        <v>1565</v>
      </c>
      <c r="L60" s="1929" t="e">
        <f ca="1">IF(OR(M47="住宅",L48&lt;J51),0,ROUND(L57*(L58/L59-1),0))</f>
        <v>#N/A</v>
      </c>
      <c r="O60" s="1897" t="s">
        <v>1044</v>
      </c>
      <c r="P60" s="1888" t="s">
        <v>1566</v>
      </c>
      <c r="Q60" s="1889" t="e">
        <f ca="1">L58</f>
        <v>#N/A</v>
      </c>
      <c r="R60" s="1889" t="s">
        <v>1567</v>
      </c>
    </row>
    <row r="61" spans="1:18" s="1845" customFormat="1" ht="13.5" thickBot="1">
      <c r="A61" s="1204" t="s">
        <v>1491</v>
      </c>
      <c r="B61" s="1172" t="s">
        <v>1436</v>
      </c>
      <c r="C61" s="24" t="e">
        <f ca="1">IF(项目基本情况!B11="自然人","——",IF(D61="按租金收入计税",ROUND(C48*F61,0),IF(D61="按房产原值计税",ROUND(C57*F61*0.7,0),INDIRECT("'数据-取费表'!Aj"&amp;$G$1))))</f>
        <v>#N/A</v>
      </c>
      <c r="D61" s="1831" t="s">
        <v>1437</v>
      </c>
      <c r="E61" s="1172" t="s">
        <v>1421</v>
      </c>
      <c r="F61" s="367">
        <f t="shared" si="0"/>
        <v>0.12</v>
      </c>
      <c r="I61" s="1931"/>
      <c r="J61" s="1931"/>
      <c r="K61" s="1931"/>
      <c r="L61" s="1931"/>
      <c r="O61" s="1897" t="s">
        <v>1045</v>
      </c>
      <c r="P61" s="1888" t="str">
        <f>K59</f>
        <v>建筑物剩余耐用年限下的土地年期修正系数Kn</v>
      </c>
      <c r="Q61" s="1889" t="e">
        <f ca="1">L59</f>
        <v>#N/A</v>
      </c>
      <c r="R61" s="1889" t="s">
        <v>1568</v>
      </c>
    </row>
    <row r="62" spans="1:18" s="1845" customFormat="1" ht="13.5" thickBot="1">
      <c r="A62" s="1204" t="s">
        <v>1494</v>
      </c>
      <c r="B62" s="1171" t="s">
        <v>1440</v>
      </c>
      <c r="C62" s="25" t="e">
        <f ca="1">IF(项目基本情况!B11="自然人","——",ROUND(F62*F63,0))</f>
        <v>#N/A</v>
      </c>
      <c r="D62" s="1187" t="s">
        <v>1441</v>
      </c>
      <c r="E62" s="1172" t="s">
        <v>1442</v>
      </c>
      <c r="F62" s="371">
        <f t="shared" si="0"/>
        <v>3</v>
      </c>
      <c r="I62" s="1932" t="s">
        <v>1569</v>
      </c>
      <c r="J62" s="1933" t="s">
        <v>1570</v>
      </c>
      <c r="K62" s="1933" t="s">
        <v>1571</v>
      </c>
      <c r="L62" s="1933" t="s">
        <v>1572</v>
      </c>
      <c r="M62" s="1934" t="s">
        <v>1573</v>
      </c>
      <c r="O62" s="1887" t="s">
        <v>1046</v>
      </c>
      <c r="P62" s="1888" t="s">
        <v>1548</v>
      </c>
      <c r="Q62" s="1889" t="e">
        <f ca="1">Q56+Q57</f>
        <v>#N/A</v>
      </c>
      <c r="R62" s="1889" t="s">
        <v>1047</v>
      </c>
    </row>
    <row r="63" spans="1:18" s="1845" customFormat="1" ht="13.5" thickBot="1">
      <c r="A63" s="372"/>
      <c r="B63" s="1178"/>
      <c r="C63" s="29"/>
      <c r="D63" s="1188"/>
      <c r="E63" s="1172" t="s">
        <v>1446</v>
      </c>
      <c r="F63" s="348" t="e">
        <f t="shared" ca="1" si="0"/>
        <v>#N/A</v>
      </c>
      <c r="I63" s="1932" t="s">
        <v>1575</v>
      </c>
      <c r="J63" s="1933">
        <v>70</v>
      </c>
      <c r="K63" s="1933">
        <v>50</v>
      </c>
      <c r="L63" s="1933">
        <v>80</v>
      </c>
      <c r="M63" s="1935">
        <v>0.02</v>
      </c>
      <c r="O63" s="1872" t="s">
        <v>1576</v>
      </c>
      <c r="P63" s="1842"/>
      <c r="Q63" s="1842"/>
      <c r="R63" s="1842"/>
    </row>
    <row r="64" spans="1:18" s="1845" customFormat="1" ht="13.5" thickBot="1">
      <c r="A64" s="1204" t="s">
        <v>1039</v>
      </c>
      <c r="B64" s="1172" t="s">
        <v>1448</v>
      </c>
      <c r="C64" s="24" t="e">
        <f ca="1">ROUND(C57*F64,0)</f>
        <v>#N/A</v>
      </c>
      <c r="D64" s="1186" t="s">
        <v>1481</v>
      </c>
      <c r="E64" s="1172" t="s">
        <v>1421</v>
      </c>
      <c r="F64" s="374" t="e">
        <f t="shared" ca="1" si="0"/>
        <v>#N/A</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t="e">
        <f ca="1">ROUND(C56*F65,0)</f>
        <v>#N/A</v>
      </c>
      <c r="D65" s="1186" t="s">
        <v>1453</v>
      </c>
      <c r="E65" s="1172" t="s">
        <v>1421</v>
      </c>
      <c r="F65" s="376" t="e">
        <f t="shared" ca="1" si="0"/>
        <v>#N/A</v>
      </c>
      <c r="I65" s="1932" t="s">
        <v>1578</v>
      </c>
      <c r="J65" s="1933">
        <v>40</v>
      </c>
      <c r="K65" s="1933">
        <v>30</v>
      </c>
      <c r="L65" s="1933">
        <v>50</v>
      </c>
      <c r="M65" s="1935">
        <v>0.02</v>
      </c>
      <c r="O65" s="1887" t="s">
        <v>1040</v>
      </c>
      <c r="P65" s="1888" t="s">
        <v>1527</v>
      </c>
      <c r="Q65" s="1889" t="e">
        <f ca="1">C40+J29</f>
        <v>#N/A</v>
      </c>
      <c r="R65" s="1889" t="s">
        <v>1528</v>
      </c>
    </row>
    <row r="66" spans="1:18" s="1845" customFormat="1" ht="16.5" thickBot="1">
      <c r="A66" s="1204" t="s">
        <v>1503</v>
      </c>
      <c r="B66" s="1172" t="s">
        <v>1438</v>
      </c>
      <c r="C66" s="24" t="e">
        <f ca="1">ROUND(C48*F66,0)</f>
        <v>#N/A</v>
      </c>
      <c r="D66" s="1186" t="s">
        <v>1458</v>
      </c>
      <c r="E66" s="1172" t="s">
        <v>1421</v>
      </c>
      <c r="F66" s="357" t="e">
        <f t="shared" ca="1" si="0"/>
        <v>#N/A</v>
      </c>
      <c r="O66" s="1887" t="s">
        <v>1041</v>
      </c>
      <c r="P66" s="1888" t="s">
        <v>1557</v>
      </c>
      <c r="Q66" s="1889" t="e">
        <f ca="1">L60</f>
        <v>#N/A</v>
      </c>
      <c r="R66" s="1889" t="s">
        <v>1580</v>
      </c>
    </row>
    <row r="67" spans="1:18" s="1845" customFormat="1" ht="16.5" thickBot="1">
      <c r="A67" s="1179" t="s">
        <v>1031</v>
      </c>
      <c r="B67" s="1189" t="s">
        <v>1462</v>
      </c>
      <c r="C67" s="361" t="e">
        <f ca="1">C48-C58</f>
        <v>#N/A</v>
      </c>
      <c r="D67" s="1185" t="s">
        <v>1463</v>
      </c>
      <c r="E67" s="1190"/>
      <c r="F67" s="1191"/>
      <c r="O67" s="1897" t="s">
        <v>1042</v>
      </c>
      <c r="P67" s="1888" t="s">
        <v>1561</v>
      </c>
      <c r="Q67" s="1936" t="e">
        <f ca="1">L51</f>
        <v>#N/A</v>
      </c>
      <c r="R67" s="1889" t="s">
        <v>1581</v>
      </c>
    </row>
    <row r="68" spans="1:18" s="1845" customFormat="1" ht="16.5" thickBot="1">
      <c r="A68" s="1169" t="s">
        <v>1032</v>
      </c>
      <c r="B68" s="1170" t="s">
        <v>1484</v>
      </c>
      <c r="C68" s="346" t="e">
        <f ca="1">ROUND(C67*(1-((1+F70)/(1+F68))^F69)/(F68-F70),0)</f>
        <v>#N/A</v>
      </c>
      <c r="D68" s="1187" t="s">
        <v>1468</v>
      </c>
      <c r="E68" s="1172" t="s">
        <v>1469</v>
      </c>
      <c r="F68" s="357" t="e">
        <f ca="1">F40</f>
        <v>#N/A</v>
      </c>
      <c r="O68" s="1897" t="s">
        <v>1043</v>
      </c>
      <c r="P68" s="1937" t="s">
        <v>1582</v>
      </c>
      <c r="Q68" s="1889" t="e">
        <f ca="1">ROUND(Q69-Q70*Q71,0)</f>
        <v>#N/A</v>
      </c>
      <c r="R68" s="1889" t="s">
        <v>1051</v>
      </c>
    </row>
    <row r="69" spans="1:18" s="1845" customFormat="1" ht="13.5" thickBot="1">
      <c r="A69" s="1173"/>
      <c r="B69" s="1174"/>
      <c r="C69" s="351"/>
      <c r="D69" s="1192" t="s">
        <v>1472</v>
      </c>
      <c r="E69" s="1172" t="s">
        <v>1473</v>
      </c>
      <c r="F69" s="379" t="e">
        <f ca="1">F41</f>
        <v>#N/A</v>
      </c>
      <c r="O69" s="1897" t="s">
        <v>1048</v>
      </c>
      <c r="P69" s="1937" t="s">
        <v>1583</v>
      </c>
      <c r="Q69" s="1889" t="e">
        <f ca="1">C39</f>
        <v>#N/A</v>
      </c>
      <c r="R69" s="1889" t="s">
        <v>1528</v>
      </c>
    </row>
    <row r="70" spans="1:18" s="1845" customFormat="1" ht="13.5" thickBot="1">
      <c r="A70" s="1176"/>
      <c r="B70" s="1177"/>
      <c r="C70" s="355"/>
      <c r="D70" s="1188"/>
      <c r="E70" s="1172" t="s">
        <v>1476</v>
      </c>
      <c r="F70" s="1278" t="e">
        <f ca="1">F42</f>
        <v>#N/A</v>
      </c>
      <c r="O70" s="1897" t="s">
        <v>1049</v>
      </c>
      <c r="P70" s="1937" t="s">
        <v>1584</v>
      </c>
      <c r="Q70" s="1889" t="e">
        <f ca="1">C13</f>
        <v>#N/A</v>
      </c>
      <c r="R70" s="1889" t="s">
        <v>1528</v>
      </c>
    </row>
    <row r="71" spans="1:18" s="1845" customFormat="1" ht="13.5" thickBot="1">
      <c r="A71" s="1193" t="s">
        <v>1033</v>
      </c>
      <c r="B71" s="1194" t="s">
        <v>1486</v>
      </c>
      <c r="C71" s="382" t="e">
        <f ca="1">ROUND(C68/F71,0)</f>
        <v>#N/A</v>
      </c>
      <c r="D71" s="1195" t="s">
        <v>1487</v>
      </c>
      <c r="E71" s="1196" t="s">
        <v>1488</v>
      </c>
      <c r="F71" s="385" t="e">
        <f ca="1">F43</f>
        <v>#N/A</v>
      </c>
      <c r="O71" s="1897" t="s">
        <v>1050</v>
      </c>
      <c r="P71" s="1937" t="s">
        <v>1585</v>
      </c>
      <c r="Q71" s="1900" t="e">
        <f ca="1">C76</f>
        <v>#N/A</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#N/A</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#N/A</v>
      </c>
      <c r="R74" s="1889" t="s">
        <v>1568</v>
      </c>
    </row>
    <row r="75" spans="1:18" ht="13.5" thickBot="1">
      <c r="A75" s="1845"/>
      <c r="B75" s="386" t="s">
        <v>1505</v>
      </c>
      <c r="C75" s="387" t="e">
        <f ca="1">ROUND(C13*C76,0)</f>
        <v>#N/A</v>
      </c>
      <c r="D75" s="1845"/>
      <c r="E75" s="1845"/>
      <c r="F75" s="1845"/>
      <c r="K75" s="1871"/>
      <c r="L75" s="1845"/>
      <c r="O75" s="1887" t="s">
        <v>1046</v>
      </c>
      <c r="P75" s="1888" t="s">
        <v>1548</v>
      </c>
      <c r="Q75" s="1889" t="e">
        <f ca="1">Q65+Q66</f>
        <v>#N/A</v>
      </c>
      <c r="R75" s="1889" t="s">
        <v>1047</v>
      </c>
    </row>
    <row r="76" spans="1:18">
      <c r="B76" s="388" t="s">
        <v>1506</v>
      </c>
      <c r="C76" s="389" t="e">
        <f ca="1">INDIRECT("'数据-取费表'!j"&amp;$G$1)</f>
        <v>#N/A</v>
      </c>
      <c r="I76" s="1845"/>
      <c r="J76" s="1845"/>
      <c r="K76" s="1871"/>
      <c r="L76" s="1845"/>
    </row>
    <row r="77" spans="1:18">
      <c r="B77" s="390" t="s">
        <v>1507</v>
      </c>
      <c r="C77" s="391"/>
      <c r="I77" s="1845"/>
      <c r="J77" s="1845"/>
      <c r="K77" s="1871"/>
      <c r="L77" s="1845"/>
    </row>
    <row r="78" spans="1:18">
      <c r="B78" s="314" t="s">
        <v>1508</v>
      </c>
      <c r="C78" s="392"/>
    </row>
    <row r="79" spans="1:18">
      <c r="B79" s="386" t="s">
        <v>1509</v>
      </c>
      <c r="C79" s="318" t="e">
        <f ca="1">1-C80</f>
        <v>#N/A</v>
      </c>
    </row>
    <row r="80" spans="1:18">
      <c r="B80" s="386" t="s">
        <v>1510</v>
      </c>
      <c r="C80" s="318" t="e">
        <f ca="1">ROUND(C75/C39,3)</f>
        <v>#N/A</v>
      </c>
    </row>
    <row r="81" spans="2:3">
      <c r="B81" s="314" t="s">
        <v>1511</v>
      </c>
      <c r="C81" s="282"/>
    </row>
    <row r="82" spans="2:3">
      <c r="B82" s="317" t="s">
        <v>1512</v>
      </c>
      <c r="C82" s="319" t="e">
        <f ca="1">1-C83</f>
        <v>#N/A</v>
      </c>
    </row>
    <row r="83" spans="2:3">
      <c r="B83" s="317" t="s">
        <v>1513</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D6" sqref="D6"/>
    </sheetView>
  </sheetViews>
  <sheetFormatPr defaultRowHeight="13.5"/>
  <cols>
    <col min="1" max="1" width="6.5" style="2972" customWidth="1"/>
    <col min="2" max="2" width="22.75" style="2972" customWidth="1"/>
    <col min="3" max="3" width="9" style="2972"/>
    <col min="4" max="4" width="13.5" style="2972" customWidth="1"/>
    <col min="5" max="5" width="14.375" style="2988" customWidth="1"/>
    <col min="6" max="7" width="10.5" style="2972" bestFit="1" customWidth="1"/>
    <col min="8" max="16384" width="9" style="2972"/>
  </cols>
  <sheetData>
    <row r="1" spans="1:9">
      <c r="A1" s="2976"/>
      <c r="B1" s="2977" t="s">
        <v>3095</v>
      </c>
      <c r="C1" s="2977" t="s">
        <v>3096</v>
      </c>
      <c r="D1" s="2977" t="s">
        <v>3091</v>
      </c>
      <c r="E1" s="2978"/>
      <c r="F1" s="2972">
        <v>1</v>
      </c>
      <c r="G1" s="2972">
        <v>2</v>
      </c>
      <c r="H1" s="2972">
        <v>3</v>
      </c>
      <c r="I1" s="2972">
        <v>4</v>
      </c>
    </row>
    <row r="2" spans="1:9">
      <c r="A2" s="2976"/>
      <c r="B2" s="2977" t="s">
        <v>3097</v>
      </c>
      <c r="C2" s="2977"/>
      <c r="D2" s="2977">
        <f>2106074.88</f>
        <v>2106074.88</v>
      </c>
      <c r="E2" s="2979"/>
      <c r="F2" s="2980" t="s">
        <v>3101</v>
      </c>
      <c r="G2" s="2980" t="s">
        <v>3102</v>
      </c>
      <c r="H2" s="2980" t="s">
        <v>3103</v>
      </c>
      <c r="I2" s="2981" t="s">
        <v>3104</v>
      </c>
    </row>
    <row r="3" spans="1:9">
      <c r="A3" s="2982">
        <v>3</v>
      </c>
      <c r="B3" s="2983" t="s">
        <v>3105</v>
      </c>
      <c r="C3" s="2982">
        <f>(7+30+31+31+82+31+30+31+30+26)/365</f>
        <v>0.90136986301369859</v>
      </c>
      <c r="D3" s="2982">
        <f>ROUND(H3*C3,2)</f>
        <v>729560.11</v>
      </c>
      <c r="E3" s="2984"/>
      <c r="F3" s="2972">
        <f>600000*1.09</f>
        <v>654000</v>
      </c>
      <c r="G3" s="2972">
        <f>F3*1.105</f>
        <v>722670</v>
      </c>
      <c r="H3" s="2972">
        <f>G3*1.12</f>
        <v>809390.4</v>
      </c>
      <c r="I3" s="2972">
        <f>H3*1.13</f>
        <v>914611.15199999989</v>
      </c>
    </row>
    <row r="4" spans="1:9">
      <c r="A4" s="2982">
        <v>4</v>
      </c>
      <c r="B4" s="2985" t="s">
        <v>3098</v>
      </c>
      <c r="C4" s="2982">
        <v>1</v>
      </c>
      <c r="D4" s="2982">
        <f>I3</f>
        <v>914611.15199999989</v>
      </c>
      <c r="E4" s="2986">
        <f>1+C8</f>
        <v>1.1829499999999999</v>
      </c>
      <c r="H4" s="2972">
        <f>H3/'数据-汇总表'!E19/365</f>
        <v>0.71614524542798352</v>
      </c>
    </row>
    <row r="5" spans="1:9">
      <c r="A5" s="2977" t="s">
        <v>3093</v>
      </c>
      <c r="B5" s="2976"/>
      <c r="C5" s="2976">
        <f>SUM(C3:C4)</f>
        <v>1.9013698630136986</v>
      </c>
      <c r="D5" s="2976">
        <f>SUM(D3:D4)</f>
        <v>1644171.2619999999</v>
      </c>
      <c r="E5" s="2979"/>
      <c r="F5" s="2972" t="e">
        <f>SUM(#REF!)</f>
        <v>#REF!</v>
      </c>
      <c r="G5" s="2972" t="e">
        <f>SUM(#REF!)</f>
        <v>#REF!</v>
      </c>
    </row>
    <row r="6" spans="1:9">
      <c r="D6" s="2987">
        <f>ROUND(D5/4178.72*'[1]数据-汇总表'!F19,0)</f>
        <v>278981</v>
      </c>
    </row>
    <row r="8" spans="1:9">
      <c r="C8" s="2989">
        <v>0.18295</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sqref="A1:G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3099</v>
      </c>
      <c r="C1" s="2559" t="s">
        <v>2431</v>
      </c>
      <c r="D1" s="242"/>
      <c r="E1" s="242"/>
      <c r="F1" s="242"/>
      <c r="G1" s="1382">
        <f>MATCH(B1,'数据-取费表'!A6:A16,0)+5</f>
        <v>6</v>
      </c>
      <c r="H1" s="1285" t="str">
        <f>IF(ISERROR(FIND("住宅",B1)),"非住宅","住宅")</f>
        <v>非住宅</v>
      </c>
    </row>
    <row r="2" spans="1:8" s="244" customFormat="1" ht="18" customHeight="1">
      <c r="A2" s="245" t="s">
        <v>2330</v>
      </c>
      <c r="B2" s="246">
        <f ca="1">ROUND(IF(D2="——",C52/10000,C52/10000-E2),0)</f>
        <v>7955</v>
      </c>
      <c r="C2" s="243" t="s">
        <v>2331</v>
      </c>
      <c r="D2" s="2553" t="s">
        <v>3106</v>
      </c>
      <c r="E2" s="1443">
        <f ca="1">SUMIF(INDIRECT("'"&amp;G2&amp;"'"&amp;"!A:A"),"承租人权益价值",INDIRECT("'"&amp;G2&amp;"'"&amp;"!c:c"))</f>
        <v>306</v>
      </c>
      <c r="F2" s="2554" t="s">
        <v>2331</v>
      </c>
      <c r="G2" s="2555" t="s">
        <v>3076</v>
      </c>
    </row>
    <row r="3" spans="1:8" s="244" customFormat="1" ht="18" customHeight="1" thickBot="1">
      <c r="A3" s="247" t="s">
        <v>2332</v>
      </c>
      <c r="B3" s="248">
        <f ca="1">ROUND(B2*10000/(IF(B1="",'数据-汇总表'!E3,INDIRECT("'数据-取费表'!k"&amp;$G$1))),0)</f>
        <v>25691</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48480876.020000003</v>
      </c>
      <c r="D5" s="255" t="s">
        <v>2337</v>
      </c>
      <c r="E5" s="256" t="s">
        <v>2338</v>
      </c>
      <c r="F5" s="256" t="s">
        <v>2339</v>
      </c>
      <c r="G5" s="257"/>
    </row>
    <row r="6" spans="1:8" s="258" customFormat="1" ht="13.5" customHeight="1">
      <c r="A6" s="952" t="s">
        <v>2340</v>
      </c>
      <c r="B6" s="259" t="s">
        <v>2341</v>
      </c>
      <c r="C6" s="260">
        <f ca="1">基准地价修正!C29*基准地价修正!D29+基准地价修正!T3*基准地价修正!U3+基准地价修正!T4*基准地价修正!U4+基准地价修正!C33*基准地价修正!D33</f>
        <v>46445013.020000003</v>
      </c>
      <c r="D6" s="261"/>
      <c r="E6" s="262"/>
      <c r="F6" s="262"/>
      <c r="G6" s="263"/>
    </row>
    <row r="7" spans="1:8" s="258" customFormat="1" ht="13.5" customHeight="1">
      <c r="A7" s="952" t="s">
        <v>2342</v>
      </c>
      <c r="B7" s="259" t="s">
        <v>2343</v>
      </c>
      <c r="C7" s="264">
        <f ca="1">ROUND(C6*F7,0)</f>
        <v>1416573</v>
      </c>
      <c r="D7" s="264"/>
      <c r="E7" s="262"/>
      <c r="F7" s="265">
        <f>'数据-取费表'!B48+'数据-取费表'!B49</f>
        <v>3.0499999999999999E-2</v>
      </c>
      <c r="G7" s="263"/>
    </row>
    <row r="8" spans="1:8" s="267" customFormat="1">
      <c r="A8" s="952" t="s">
        <v>2344</v>
      </c>
      <c r="B8" s="259" t="s">
        <v>2345</v>
      </c>
      <c r="C8" s="264">
        <f ca="1">IF(G8="已包含在土地购买价格中",0,C9+C10)</f>
        <v>619290</v>
      </c>
      <c r="D8" s="266"/>
      <c r="E8" s="264"/>
      <c r="F8" s="265"/>
      <c r="G8" s="2556" t="s">
        <v>3069</v>
      </c>
    </row>
    <row r="9" spans="1:8" s="258" customFormat="1" ht="13.5" customHeight="1">
      <c r="A9" s="953" t="s">
        <v>800</v>
      </c>
      <c r="B9" s="268" t="s">
        <v>2346</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2348</v>
      </c>
      <c r="C10" s="269">
        <f ca="1">ROUND(D10*E10,0)</f>
        <v>619290</v>
      </c>
      <c r="D10" s="1035">
        <f ca="1">IF(B1="",'数据-汇总表'!E6,IF(INDIRECT("'数据-取费表'!c"&amp;$G$1)="住宅",INDIRECT("'数据-取费表'!s"&amp;$G$1),INDIRECT("'数据-取费表'!k"&amp;$G$1)+INDIRECT("'数据-取费表'!s"&amp;$G$1)))</f>
        <v>3096.45</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2432</v>
      </c>
      <c r="C12" s="255">
        <v>0</v>
      </c>
      <c r="D12" s="1037"/>
      <c r="E12" s="272"/>
      <c r="F12" s="265">
        <v>3.0499999999999999E-2</v>
      </c>
      <c r="G12" s="263"/>
    </row>
    <row r="13" spans="1:8" s="258" customFormat="1" ht="13.5" hidden="1" customHeight="1">
      <c r="A13" s="271" t="s">
        <v>9</v>
      </c>
      <c r="B13" s="259" t="s">
        <v>2433</v>
      </c>
      <c r="C13" s="255"/>
      <c r="D13" s="1037"/>
      <c r="E13" s="262"/>
      <c r="F13" s="262"/>
      <c r="G13" s="263"/>
    </row>
    <row r="14" spans="1:8" s="258" customFormat="1" ht="13.5" hidden="1" customHeight="1">
      <c r="A14" s="271" t="s">
        <v>10</v>
      </c>
      <c r="B14" s="259" t="s">
        <v>2345</v>
      </c>
      <c r="C14" s="255"/>
      <c r="D14" s="1037"/>
      <c r="E14" s="262"/>
      <c r="F14" s="262"/>
      <c r="G14" s="263" t="s">
        <v>2434</v>
      </c>
    </row>
    <row r="15" spans="1:8" s="258" customFormat="1" ht="13.5" hidden="1" customHeight="1">
      <c r="A15" s="271" t="s">
        <v>11</v>
      </c>
      <c r="B15" s="259" t="s">
        <v>2435</v>
      </c>
      <c r="C15" s="264"/>
      <c r="D15" s="1037"/>
      <c r="E15" s="262"/>
      <c r="F15" s="262"/>
      <c r="G15" s="263" t="s">
        <v>2436</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2437</v>
      </c>
      <c r="C17" s="273"/>
      <c r="D17" s="1038"/>
      <c r="E17" s="273"/>
      <c r="F17" s="273"/>
      <c r="G17" s="263" t="s">
        <v>2436</v>
      </c>
    </row>
    <row r="18" spans="1:7" s="258" customFormat="1" ht="13.5" hidden="1" customHeight="1">
      <c r="A18" s="271" t="s">
        <v>14</v>
      </c>
      <c r="B18" s="259" t="s">
        <v>2438</v>
      </c>
      <c r="C18" s="264">
        <v>0</v>
      </c>
      <c r="D18" s="1037"/>
      <c r="E18" s="262"/>
      <c r="F18" s="265">
        <v>3.0499999999999999E-2</v>
      </c>
      <c r="G18" s="263" t="s">
        <v>2439</v>
      </c>
    </row>
    <row r="19" spans="1:7" s="267" customFormat="1" ht="13.5" customHeight="1">
      <c r="A19" s="299" t="s">
        <v>2440</v>
      </c>
      <c r="B19" s="254" t="s">
        <v>2441</v>
      </c>
      <c r="C19" s="255" t="str">
        <f>IF(G19="已包含在土地取得成本中","0",ROUND(D19*E19,0))</f>
        <v>0</v>
      </c>
      <c r="D19" s="1039">
        <f ca="1">D9+D10</f>
        <v>3096.45</v>
      </c>
      <c r="E19" s="255">
        <f>'数据-取费表'!B31</f>
        <v>200</v>
      </c>
      <c r="F19" s="275"/>
      <c r="G19" s="2556" t="s">
        <v>3070</v>
      </c>
    </row>
    <row r="20" spans="1:7" s="258" customFormat="1" ht="13.5" customHeight="1">
      <c r="A20" s="299" t="s">
        <v>2442</v>
      </c>
      <c r="B20" s="254" t="s">
        <v>2443</v>
      </c>
      <c r="C20" s="276">
        <f ca="1">ROUND((C5+C19)*F20,0)</f>
        <v>969618</v>
      </c>
      <c r="D20" s="276"/>
      <c r="E20" s="276"/>
      <c r="F20" s="277">
        <f>'数据-取费表'!B37</f>
        <v>0.02</v>
      </c>
      <c r="G20" s="278" t="s">
        <v>2444</v>
      </c>
    </row>
    <row r="21" spans="1:7" s="258" customFormat="1" ht="13.5" customHeight="1">
      <c r="A21" s="299" t="s">
        <v>2445</v>
      </c>
      <c r="B21" s="254" t="s">
        <v>2446</v>
      </c>
      <c r="C21" s="279">
        <f>F21</f>
        <v>0.02</v>
      </c>
      <c r="D21" s="280" t="s">
        <v>2447</v>
      </c>
      <c r="E21" s="276"/>
      <c r="F21" s="277">
        <f>'数据-取费表'!B38</f>
        <v>0.02</v>
      </c>
      <c r="G21" s="278" t="s">
        <v>2448</v>
      </c>
    </row>
    <row r="22" spans="1:7" s="258" customFormat="1" ht="13.5" customHeight="1">
      <c r="A22" s="299" t="s">
        <v>2449</v>
      </c>
      <c r="B22" s="254" t="s">
        <v>2450</v>
      </c>
      <c r="C22" s="1383">
        <f ca="1">ROUND(SUM(C23:C25),0)</f>
        <v>2130007</v>
      </c>
      <c r="D22" s="279">
        <f ca="1">C26</f>
        <v>4.0000000000000002E-4</v>
      </c>
      <c r="E22" s="280" t="s">
        <v>2447</v>
      </c>
      <c r="F22" s="281">
        <f ca="1">'数据-取费表'!B40</f>
        <v>4.3499999999999997E-2</v>
      </c>
      <c r="G22" s="278" t="str">
        <f>IF('数据-取费表'!B22&lt;=1,"单利计息","复利计息")</f>
        <v>单利计息</v>
      </c>
    </row>
    <row r="23" spans="1:7" s="258" customFormat="1" ht="13.5" customHeight="1">
      <c r="A23" s="954" t="s">
        <v>2340</v>
      </c>
      <c r="B23" s="259" t="s">
        <v>2451</v>
      </c>
      <c r="C23" s="1384">
        <f ca="1">ROUND(IF('数据-取费表'!B22&lt;=1,C5*F22*'数据-取费表'!B22,C5*(POWER((1+F22),'数据-取费表'!B22)-1)),0)</f>
        <v>2108918</v>
      </c>
      <c r="D23" s="282"/>
      <c r="E23" s="282"/>
      <c r="F23" s="283"/>
      <c r="G23" s="284" t="s">
        <v>2452</v>
      </c>
    </row>
    <row r="24" spans="1:7" s="258" customFormat="1" ht="13.5" customHeight="1">
      <c r="A24" s="954" t="s">
        <v>2342</v>
      </c>
      <c r="B24" s="259" t="s">
        <v>2453</v>
      </c>
      <c r="C24" s="1384">
        <f ca="1">ROUND(IF('数据-取费表'!B22&lt;=1,C19*F22*('数据-取费表'!B19/2+'数据-取费表'!B20),C19*(POWER((1+F22),('数据-取费表'!B19/2+'数据-取费表'!B20))-1)),0)</f>
        <v>0</v>
      </c>
      <c r="D24" s="282"/>
      <c r="E24" s="282"/>
      <c r="F24" s="283"/>
      <c r="G24" s="284" t="s">
        <v>2454</v>
      </c>
    </row>
    <row r="25" spans="1:7" s="258" customFormat="1" ht="24">
      <c r="A25" s="954" t="s">
        <v>2344</v>
      </c>
      <c r="B25" s="259" t="s">
        <v>2455</v>
      </c>
      <c r="C25" s="1384">
        <f ca="1">ROUND(IF('数据-取费表'!B22&lt;=1,C20*F22*'数据-取费表'!B22/2,C20*(POWER((1+F22),'数据-取费表'!B22/2)-1)),0)</f>
        <v>21089</v>
      </c>
      <c r="D25" s="282"/>
      <c r="E25" s="285"/>
      <c r="F25" s="283"/>
      <c r="G25" s="286" t="s">
        <v>2456</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f ca="1">C28</f>
        <v>14835148</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ROUND((C5+C19+C20)*F27,0)</f>
        <v>14835148</v>
      </c>
      <c r="D28" s="279"/>
      <c r="E28" s="280"/>
      <c r="F28" s="290"/>
      <c r="G28" s="291"/>
    </row>
    <row r="29" spans="1:7" s="258" customFormat="1" ht="13.5" customHeight="1">
      <c r="A29" s="954" t="s">
        <v>792</v>
      </c>
      <c r="B29" s="292" t="s">
        <v>2385</v>
      </c>
      <c r="C29" s="282">
        <f ca="1">ROUND(C21*F27,4)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72167390</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9504863</v>
      </c>
      <c r="D33" s="276"/>
      <c r="E33" s="256"/>
      <c r="F33" s="285"/>
      <c r="G33" s="278"/>
    </row>
    <row r="34" spans="1:7" s="302" customFormat="1" ht="13.5" customHeight="1">
      <c r="A34" s="954" t="s">
        <v>791</v>
      </c>
      <c r="B34" s="259" t="s">
        <v>2393</v>
      </c>
      <c r="C34" s="264">
        <f ca="1">ROUND(IF(B1="",SUMPRODUCT('数据-取费表'!K6:K14,'数据-取费表'!L6:L14),INDIRECT("'数据-取费表'!l"&amp;$G$1)*INDIRECT("'数据-取费表'!k"&amp;$G$1)+'数据-取费表'!L14*INDIRECT("'数据-取费表'!S"&amp;$G$1)),0)</f>
        <v>8422344</v>
      </c>
      <c r="D34" s="261"/>
      <c r="E34" s="264"/>
      <c r="F34" s="301"/>
      <c r="G34" s="263"/>
    </row>
    <row r="35" spans="1:7" ht="13.5" customHeight="1">
      <c r="A35" s="954" t="s">
        <v>796</v>
      </c>
      <c r="B35" s="259" t="s">
        <v>2395</v>
      </c>
      <c r="C35" s="264">
        <f ca="1">ROUND(C34*F35,0)</f>
        <v>336894</v>
      </c>
      <c r="D35" s="264"/>
      <c r="E35" s="264"/>
      <c r="F35" s="303">
        <f>'数据-取费表'!B33</f>
        <v>0.04</v>
      </c>
      <c r="G35" s="263" t="s">
        <v>2396</v>
      </c>
    </row>
    <row r="36" spans="1:7" ht="24">
      <c r="A36" s="954" t="s">
        <v>797</v>
      </c>
      <c r="B36" s="259" t="s">
        <v>2397</v>
      </c>
      <c r="C36" s="264">
        <f ca="1">ROUND(IF(B1="",SUM('数据-取费表'!AP6:AP13)*F36,IF(INDIRECT("'数据-取费表'!c"&amp;$G$1)="住宅",INDIRECT("'数据-取费表'!k"&amp;$G$1)*INDIRECT("'数据-取费表'!l"&amp;$G$1)*F36,0)),0)</f>
        <v>0</v>
      </c>
      <c r="D36" s="264"/>
      <c r="E36" s="264"/>
      <c r="F36" s="303">
        <f>'数据-取费表'!B34</f>
        <v>0</v>
      </c>
      <c r="G36" s="304" t="s">
        <v>2398</v>
      </c>
    </row>
    <row r="37" spans="1:7" s="302" customFormat="1" ht="13.5" customHeight="1">
      <c r="A37" s="954" t="s">
        <v>798</v>
      </c>
      <c r="B37" s="259" t="s">
        <v>2399</v>
      </c>
      <c r="C37" s="293">
        <f ca="1">ROUND(E37*D37,0)</f>
        <v>619290</v>
      </c>
      <c r="D37" s="261">
        <f ca="1">D19</f>
        <v>3096.45</v>
      </c>
      <c r="E37" s="293">
        <f>'数据-取费表'!B35</f>
        <v>200</v>
      </c>
      <c r="F37" s="303"/>
      <c r="G37" s="305"/>
    </row>
    <row r="38" spans="1:7" ht="13.5" customHeight="1">
      <c r="A38" s="954" t="s">
        <v>799</v>
      </c>
      <c r="B38" s="259" t="s">
        <v>2401</v>
      </c>
      <c r="C38" s="264">
        <f ca="1">ROUND(C34*F38,0)</f>
        <v>126335</v>
      </c>
      <c r="D38" s="264"/>
      <c r="E38" s="264"/>
      <c r="F38" s="303">
        <f>'数据-取费表'!B36</f>
        <v>1.4999999999999999E-2</v>
      </c>
      <c r="G38" s="263" t="s">
        <v>2396</v>
      </c>
    </row>
    <row r="39" spans="1:7" s="258" customFormat="1" ht="13.5" customHeight="1">
      <c r="A39" s="299" t="s">
        <v>2402</v>
      </c>
      <c r="B39" s="254" t="s">
        <v>2403</v>
      </c>
      <c r="C39" s="276">
        <f ca="1">ROUND(C33*F20,0)</f>
        <v>190097</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210866</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ROUND(IF('数据-取费表'!B22&lt;=1,C33*F22*'数据-取费表'!B20/2,C33*(POWER((1+F22),'数据-取费表'!B20/2)-1)),0)</f>
        <v>206731</v>
      </c>
      <c r="D42" s="282"/>
      <c r="E42" s="282"/>
      <c r="F42" s="283"/>
      <c r="G42" s="3176" t="s">
        <v>2459</v>
      </c>
    </row>
    <row r="43" spans="1:7" ht="13.5" customHeight="1">
      <c r="A43" s="954" t="s">
        <v>792</v>
      </c>
      <c r="B43" s="259" t="s">
        <v>2413</v>
      </c>
      <c r="C43" s="282">
        <f ca="1">ROUND(IF('数据-取费表'!B22&lt;=1,C39*F22*'数据-取费表'!B20/2,C39*(POWER((1+F22),'数据-取费表'!B20/2)-1)),0)</f>
        <v>4135</v>
      </c>
      <c r="D43" s="282"/>
      <c r="E43" s="282"/>
      <c r="F43" s="283"/>
      <c r="G43" s="3177"/>
    </row>
    <row r="44" spans="1:7" ht="13.5" customHeight="1">
      <c r="A44" s="954" t="s">
        <v>793</v>
      </c>
      <c r="B44" s="259" t="s">
        <v>2414</v>
      </c>
      <c r="C44" s="282">
        <f ca="1">ROUND(IF('数据-取费表'!B22&lt;=1,C40*F22*'数据-取费表'!B20/2,C40*(POWER((1+F22),'数据-取费表'!B20/2)-1)),4)</f>
        <v>4.0000000000000002E-4</v>
      </c>
      <c r="D44" s="282"/>
      <c r="E44" s="282"/>
      <c r="F44" s="283"/>
      <c r="G44" s="3178"/>
    </row>
    <row r="45" spans="1:7" s="258" customFormat="1" ht="13.5" customHeight="1">
      <c r="A45" s="299" t="s">
        <v>2415</v>
      </c>
      <c r="B45" s="288" t="s">
        <v>2381</v>
      </c>
      <c r="C45" s="289">
        <f ca="1">C46</f>
        <v>2908488</v>
      </c>
      <c r="D45" s="279">
        <f ca="1">C47</f>
        <v>6.0000000000000001E-3</v>
      </c>
      <c r="E45" s="280" t="s">
        <v>2407</v>
      </c>
      <c r="F45" s="290"/>
      <c r="G45" s="291" t="s">
        <v>2416</v>
      </c>
    </row>
    <row r="46" spans="1:7" s="258" customFormat="1" ht="13.5" customHeight="1">
      <c r="A46" s="954" t="s">
        <v>791</v>
      </c>
      <c r="B46" s="292" t="s">
        <v>2417</v>
      </c>
      <c r="C46" s="293">
        <f ca="1">ROUND((C33+C39)*F27,0)</f>
        <v>2908488</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13924062</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f ca="1">ROUND(C49*F50,0)</f>
        <v>10443047</v>
      </c>
      <c r="D51" s="276"/>
      <c r="E51" s="276"/>
      <c r="F51" s="308"/>
      <c r="G51" s="278" t="s">
        <v>2428</v>
      </c>
    </row>
    <row r="52" spans="1:7" s="252" customFormat="1" ht="16.5" thickBot="1">
      <c r="A52" s="309" t="s">
        <v>2429</v>
      </c>
      <c r="B52" s="310"/>
      <c r="C52" s="311">
        <f ca="1">C31+C51</f>
        <v>82610437</v>
      </c>
      <c r="D52" s="310"/>
      <c r="E52" s="310"/>
      <c r="F52" s="310"/>
      <c r="G52" s="312"/>
    </row>
    <row r="55" spans="1:7" ht="15">
      <c r="B55" s="314" t="s">
        <v>2430</v>
      </c>
      <c r="C55" s="315"/>
    </row>
    <row r="56" spans="1:7">
      <c r="B56" s="317" t="s">
        <v>1512</v>
      </c>
      <c r="C56" s="319">
        <f ca="1">1-C57</f>
        <v>0.874</v>
      </c>
    </row>
    <row r="57" spans="1:7">
      <c r="B57" s="317" t="s">
        <v>1513</v>
      </c>
      <c r="C57" s="318">
        <f ca="1">ROUND(C51/C52,3)</f>
        <v>0.126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2462</v>
      </c>
      <c r="B1" s="1584"/>
      <c r="C1" s="1585"/>
      <c r="D1" s="1583"/>
      <c r="E1" s="320"/>
      <c r="F1" s="320"/>
      <c r="G1" s="1584"/>
      <c r="H1" s="320"/>
      <c r="I1" s="320"/>
      <c r="J1" s="320"/>
      <c r="K1" s="320">
        <f>MATCH(C1,'数据-取费表'!A6:A16,0)+5</f>
        <v>7</v>
      </c>
    </row>
    <row r="2" spans="1:33" ht="18" customHeight="1">
      <c r="A2" s="245" t="s">
        <v>2330</v>
      </c>
      <c r="B2" s="248">
        <f ca="1">C32</f>
        <v>-80</v>
      </c>
      <c r="C2" s="320" t="s">
        <v>2463</v>
      </c>
      <c r="D2" s="320"/>
      <c r="E2" s="320"/>
      <c r="F2" s="320"/>
      <c r="G2" s="320"/>
      <c r="H2" s="320"/>
      <c r="I2" s="320"/>
      <c r="J2" s="320"/>
      <c r="K2" s="320"/>
    </row>
    <row r="3" spans="1:33" ht="18" customHeight="1" thickBot="1">
      <c r="A3" s="247" t="s">
        <v>2332</v>
      </c>
      <c r="B3" s="248">
        <f ca="1">ROUND(B2*10000/IF(C1="",'数据-汇总表'!E3,INDIRECT("'数据-取费表'!K"&amp;$K$1)),0)</f>
        <v>-258</v>
      </c>
      <c r="C3" s="320" t="s">
        <v>2464</v>
      </c>
      <c r="D3" s="320"/>
      <c r="E3" s="320"/>
      <c r="F3" s="320"/>
      <c r="G3" s="320"/>
      <c r="H3" s="320"/>
      <c r="I3" s="320"/>
      <c r="J3" s="320"/>
      <c r="K3" s="320"/>
    </row>
    <row r="4" spans="1:33" s="959" customFormat="1" ht="16.5" customHeight="1">
      <c r="A4" s="956" t="s">
        <v>2465</v>
      </c>
      <c r="B4" s="957"/>
      <c r="C4" s="999">
        <f>SUM(C8:K8)</f>
        <v>0</v>
      </c>
      <c r="D4" s="957"/>
      <c r="E4" s="957"/>
      <c r="F4" s="957"/>
      <c r="G4" s="957"/>
      <c r="H4" s="957"/>
      <c r="I4" s="957"/>
      <c r="J4" s="957"/>
      <c r="K4" s="958"/>
    </row>
    <row r="5" spans="1:33" s="963" customFormat="1" ht="24.75">
      <c r="A5" s="960" t="s">
        <v>2466</v>
      </c>
      <c r="B5" s="961" t="s">
        <v>2467</v>
      </c>
      <c r="C5" s="2560" t="s">
        <v>2468</v>
      </c>
      <c r="D5" s="2560" t="s">
        <v>2469</v>
      </c>
      <c r="E5" s="2560" t="s">
        <v>2470</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1333</v>
      </c>
      <c r="B11" s="975" t="s">
        <v>2483</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1334</v>
      </c>
      <c r="B12" s="975" t="s">
        <v>2484</v>
      </c>
      <c r="C12" s="24">
        <f ca="1">ROUND(C11*F12,0)</f>
        <v>0</v>
      </c>
      <c r="D12" s="976"/>
      <c r="E12" s="375"/>
      <c r="F12" s="979">
        <f>'数据-取费表'!B33</f>
        <v>0.04</v>
      </c>
      <c r="G12" s="8" t="s">
        <v>2485</v>
      </c>
      <c r="H12" s="971"/>
      <c r="I12" s="971"/>
      <c r="J12" s="971"/>
      <c r="K12" s="972"/>
    </row>
    <row r="13" spans="1:33" s="978" customFormat="1" ht="13.5" customHeight="1">
      <c r="A13" s="974" t="s">
        <v>1335</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1336</v>
      </c>
      <c r="B14" s="975" t="s">
        <v>2488</v>
      </c>
      <c r="C14" s="24">
        <f ca="1">ROUND(D14*E14*F11/10000,0)</f>
        <v>0</v>
      </c>
      <c r="D14" s="1036">
        <f ca="1">IF(C1="",'数据-汇总表'!E3,INDIRECT("'数据-取费表'!K"&amp;$K$1)+INDIRECT("'数据-取费表'!S"&amp;$K$1))</f>
        <v>3096.45</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1337</v>
      </c>
      <c r="B15" s="975" t="s">
        <v>2490</v>
      </c>
      <c r="C15" s="986">
        <f ca="1">ROUND(C11*F15,0)</f>
        <v>0</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3096.45</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1338</v>
      </c>
      <c r="B18" s="975" t="s">
        <v>2495</v>
      </c>
      <c r="C18" s="24">
        <f ca="1">C19+C20-IF(C1="",'数据-取费表'!B29,IF(G18="已全部缴纳",C19+C20,H18))</f>
        <v>62</v>
      </c>
      <c r="D18" s="1036"/>
      <c r="E18" s="24"/>
      <c r="F18" s="979"/>
      <c r="G18" s="2562"/>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62</v>
      </c>
      <c r="D20" s="1036">
        <f ca="1">IF(C1="",'数据-汇总表'!E6,IF(INDIRECT("'数据-取费表'!c"&amp;$K$1)="住宅",INDIRECT("'数据-取费表'!s"&amp;$K$1),INDIRECT("'数据-取费表'!k"&amp;$K$1)+INDIRECT("'数据-取费表'!s"&amp;$K$1)))</f>
        <v>3096.45</v>
      </c>
      <c r="E20" s="24">
        <f>'数据-取费表'!B28</f>
        <v>200</v>
      </c>
      <c r="F20" s="979"/>
      <c r="G20" s="15"/>
      <c r="H20" s="984"/>
      <c r="I20" s="984"/>
      <c r="J20" s="984"/>
      <c r="K20" s="985"/>
    </row>
    <row r="21" spans="1:33" s="978" customFormat="1" ht="13.5" customHeight="1">
      <c r="A21" s="964" t="s">
        <v>802</v>
      </c>
      <c r="B21" s="988" t="s">
        <v>2499</v>
      </c>
      <c r="C21" s="989">
        <f ca="1">C16+C17+C18</f>
        <v>62</v>
      </c>
      <c r="D21" s="990"/>
      <c r="E21" s="325"/>
      <c r="F21" s="325"/>
      <c r="G21" s="140" t="s">
        <v>2500</v>
      </c>
      <c r="H21" s="982"/>
      <c r="I21" s="982"/>
      <c r="J21" s="982"/>
      <c r="K21" s="983"/>
    </row>
    <row r="22" spans="1:33" s="978" customFormat="1" ht="13.5" customHeight="1">
      <c r="A22" s="964" t="s">
        <v>2472</v>
      </c>
      <c r="B22" s="988" t="s">
        <v>2501</v>
      </c>
      <c r="C22" s="989">
        <f ca="1">ROUND(C21*F22,0)</f>
        <v>1</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0</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2511</v>
      </c>
      <c r="C27" s="1361">
        <f ca="1">ROUND(IF('数据-取费表'!B22&lt;=1,(C21+C22+C23)*F25*'数据-取费表'!B24/2,(C21+C22+C23)*(POWER((1+F25),'数据-取费表'!B24/2)-1)),0)</f>
        <v>0</v>
      </c>
      <c r="D27" s="328"/>
      <c r="E27" s="329"/>
      <c r="F27" s="330"/>
      <c r="G27" s="2564" t="str">
        <f>IF('数据-取费表'!B22&lt;=1,"（1）-（3）项×年利率×建设期÷2","（1）-（3）项×((1+年利率)^(建设期÷2)-1)")</f>
        <v>（1）-（3）项×年利率×建设期÷2</v>
      </c>
      <c r="H27" s="982"/>
      <c r="I27" s="982"/>
      <c r="J27" s="982"/>
      <c r="K27" s="983"/>
    </row>
    <row r="28" spans="1:33" s="333" customFormat="1" ht="13.5" customHeight="1">
      <c r="A28" s="964" t="s">
        <v>2512</v>
      </c>
      <c r="B28" s="2565" t="s">
        <v>2513</v>
      </c>
      <c r="C28" s="331">
        <f ca="1">C30</f>
        <v>19</v>
      </c>
      <c r="D28" s="324">
        <f ca="1">C29</f>
        <v>0</v>
      </c>
      <c r="E28" s="326" t="s">
        <v>15</v>
      </c>
      <c r="F28" s="332">
        <f ca="1">IF(C1="",'数据-取费表'!Q16,INDIRECT("'数据-取费表'!q"&amp;$K$1))</f>
        <v>0.3</v>
      </c>
      <c r="G28" s="992"/>
      <c r="H28" s="993"/>
      <c r="I28" s="993"/>
      <c r="J28" s="993"/>
      <c r="K28" s="994"/>
    </row>
    <row r="29" spans="1:33" s="335" customFormat="1" ht="13.5" customHeight="1">
      <c r="A29" s="974" t="s">
        <v>803</v>
      </c>
      <c r="B29" s="997" t="s">
        <v>2514</v>
      </c>
      <c r="C29" s="328">
        <f ca="1">ROUND((1+C24)*F28*'数据-取费表'!B24/'数据-取费表'!B20,4)</f>
        <v>0</v>
      </c>
      <c r="D29" s="328"/>
      <c r="E29" s="329"/>
      <c r="F29" s="334"/>
      <c r="G29" s="140" t="s">
        <v>2515</v>
      </c>
      <c r="H29" s="982"/>
      <c r="I29" s="982"/>
      <c r="J29" s="982"/>
      <c r="K29" s="983"/>
    </row>
    <row r="30" spans="1:33" s="335" customFormat="1" ht="13.5" customHeight="1">
      <c r="A30" s="974" t="s">
        <v>804</v>
      </c>
      <c r="B30" s="997" t="s">
        <v>2516</v>
      </c>
      <c r="C30" s="336">
        <f ca="1">ROUND((C21+C22+C23)*F28,0)</f>
        <v>19</v>
      </c>
      <c r="D30" s="328"/>
      <c r="E30" s="329"/>
      <c r="F30" s="334"/>
      <c r="G30" s="140"/>
      <c r="H30" s="982"/>
      <c r="I30" s="982"/>
      <c r="J30" s="982"/>
      <c r="K30" s="983"/>
    </row>
    <row r="31" spans="1:33" s="978" customFormat="1" ht="13.5" customHeight="1" thickBot="1">
      <c r="A31" s="2566" t="s">
        <v>2517</v>
      </c>
      <c r="B31" s="1008" t="s">
        <v>2518</v>
      </c>
      <c r="C31" s="1009">
        <f>ROUND(C4*F31/(1+'数据-取费表'!C42),0)</f>
        <v>0</v>
      </c>
      <c r="D31" s="1010"/>
      <c r="E31" s="1011"/>
      <c r="F31" s="1012">
        <f>'数据-取费表'!B41</f>
        <v>5.6000000000000001E-2</v>
      </c>
      <c r="G31" s="1013" t="s">
        <v>2519</v>
      </c>
      <c r="H31" s="1014"/>
      <c r="I31" s="1014"/>
      <c r="J31" s="1014"/>
      <c r="K31" s="1015"/>
    </row>
    <row r="32" spans="1:33" s="973" customFormat="1" ht="13.5" customHeight="1" thickBot="1">
      <c r="A32" s="1003" t="s">
        <v>2520</v>
      </c>
      <c r="B32" s="1004"/>
      <c r="C32" s="1005">
        <f ca="1">ROUND((C4-C21-C22-C23-C25-C28-C31)/(1+C24+D25+D28),0)</f>
        <v>-80</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1386</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t="e">
        <f ca="1">C40+J29+L46</f>
        <v>#DIV/0!</v>
      </c>
      <c r="C2" s="1848" t="s">
        <v>1515</v>
      </c>
      <c r="D2" s="1848"/>
      <c r="E2" s="1849"/>
      <c r="F2" s="1850"/>
      <c r="G2" s="1851"/>
      <c r="H2" s="1843"/>
      <c r="I2" s="1843"/>
      <c r="J2" s="1843"/>
      <c r="K2" s="1844"/>
      <c r="L2" s="1843"/>
      <c r="M2" s="1843"/>
    </row>
    <row r="3" spans="1:37" ht="18" customHeight="1" thickBot="1">
      <c r="A3" s="1852" t="s">
        <v>1516</v>
      </c>
      <c r="B3" s="1853">
        <f ca="1">IF(ISERROR(B2*10000/F43),0,ROUND(B2*10000/F43,0))</f>
        <v>0</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f ca="1">C6+C10+C12</f>
        <v>0</v>
      </c>
      <c r="D5" s="1825" t="s">
        <v>1401</v>
      </c>
      <c r="E5" s="1296"/>
      <c r="F5" s="1297"/>
      <c r="G5" s="1854"/>
      <c r="H5" s="344">
        <v>1</v>
      </c>
      <c r="I5" s="345" t="s">
        <v>1400</v>
      </c>
      <c r="J5" s="1295">
        <f ca="1">J6+J10+J12</f>
        <v>0</v>
      </c>
      <c r="K5" s="1825" t="s">
        <v>1401</v>
      </c>
      <c r="L5" s="1296"/>
      <c r="M5" s="1297"/>
    </row>
    <row r="6" spans="1:37" ht="18" customHeight="1">
      <c r="A6" s="1294" t="s">
        <v>1035</v>
      </c>
      <c r="B6" s="3183" t="s">
        <v>1402</v>
      </c>
      <c r="C6" s="1299">
        <f ca="1">ROUND(F6*F8*F7*(1-F9)/10000,0)</f>
        <v>0</v>
      </c>
      <c r="D6" s="164" t="s">
        <v>3033</v>
      </c>
      <c r="E6" s="347" t="s">
        <v>1404</v>
      </c>
      <c r="F6" s="348">
        <f ca="1">INDIRECT("'数据-取费表'!u"&amp;$G$1)</f>
        <v>0</v>
      </c>
      <c r="G6" s="1854"/>
      <c r="H6" s="1294" t="s">
        <v>1035</v>
      </c>
      <c r="I6" s="3183" t="s">
        <v>1402</v>
      </c>
      <c r="J6" s="346">
        <f ca="1">ROUND(M6*M8*M7*(1-M9)/10000,0)</f>
        <v>0</v>
      </c>
      <c r="K6" s="164" t="s">
        <v>3032</v>
      </c>
      <c r="L6" s="347" t="s">
        <v>1404</v>
      </c>
      <c r="M6" s="348">
        <f ca="1">INDIRECT("'数据-取费表'!z"&amp;$G$1)</f>
        <v>0</v>
      </c>
    </row>
    <row r="7" spans="1:37" ht="18" customHeight="1">
      <c r="A7" s="1298"/>
      <c r="B7" s="3184"/>
      <c r="C7" s="1300"/>
      <c r="D7" s="352"/>
      <c r="E7" s="1301" t="s">
        <v>1405</v>
      </c>
      <c r="F7" s="348">
        <f ca="1">IF(INDIRECT("'数据-取费表'!ah"&amp;$G$1)="",INDIRECT("'数据-取费表'!k"&amp;$G$1),INDIRECT("'数据-取费表'!ah"&amp;$G$1))</f>
        <v>0</v>
      </c>
      <c r="G7" s="1854"/>
      <c r="H7" s="349"/>
      <c r="I7" s="3184"/>
      <c r="J7" s="351"/>
      <c r="K7" s="352"/>
      <c r="L7" s="347" t="s">
        <v>1405</v>
      </c>
      <c r="M7" s="348">
        <f ca="1">F7</f>
        <v>0</v>
      </c>
    </row>
    <row r="8" spans="1:37" ht="18" customHeight="1">
      <c r="A8" s="349"/>
      <c r="B8" s="3184"/>
      <c r="C8" s="351"/>
      <c r="D8" s="352"/>
      <c r="E8" s="347" t="s">
        <v>1406</v>
      </c>
      <c r="F8" s="348">
        <f ca="1">INDIRECT("'数据-取费表'!ai"&amp;$G$1)</f>
        <v>0</v>
      </c>
      <c r="G8" s="1854"/>
      <c r="H8" s="349"/>
      <c r="I8" s="3184"/>
      <c r="J8" s="351"/>
      <c r="K8" s="352"/>
      <c r="L8" s="347" t="s">
        <v>1406</v>
      </c>
      <c r="M8" s="348">
        <f ca="1">INDIRECT("'数据-取费表'!ai"&amp;$G$1)</f>
        <v>0</v>
      </c>
    </row>
    <row r="9" spans="1:37" ht="18" customHeight="1">
      <c r="A9" s="349"/>
      <c r="B9" s="3185"/>
      <c r="C9" s="351"/>
      <c r="D9" s="352"/>
      <c r="E9" s="347" t="s">
        <v>1407</v>
      </c>
      <c r="F9" s="357">
        <f ca="1">INDIRECT("'数据-取费表'!w"&amp;$G$1)</f>
        <v>0</v>
      </c>
      <c r="G9" s="1854"/>
      <c r="H9" s="349"/>
      <c r="I9" s="3185"/>
      <c r="J9" s="351"/>
      <c r="K9" s="352"/>
      <c r="L9" s="358" t="s">
        <v>1407</v>
      </c>
      <c r="M9" s="359">
        <f ca="1">INDIRECT("'数据-取费表'!ab"&amp;$G$1)</f>
        <v>0</v>
      </c>
    </row>
    <row r="10" spans="1:37" ht="18" customHeight="1">
      <c r="A10" s="1294" t="s">
        <v>1039</v>
      </c>
      <c r="B10" s="1826" t="s">
        <v>1408</v>
      </c>
      <c r="C10" s="361">
        <f ca="1">ROUND(IF(F10="押一",C6/12*F11,IF(F10="押二",C6/12*2*F11,IF(F10="押三",C6/12*3*F11,C11*F11))),0)</f>
        <v>0</v>
      </c>
      <c r="D10" s="1827" t="s">
        <v>3042</v>
      </c>
      <c r="E10" s="358" t="s">
        <v>1409</v>
      </c>
      <c r="F10" s="1369"/>
      <c r="G10" s="1854"/>
      <c r="H10" s="1294" t="s">
        <v>1039</v>
      </c>
      <c r="I10" s="1826" t="s">
        <v>1408</v>
      </c>
      <c r="J10" s="346">
        <f ca="1">ROUND(IF(M10="押一",J6/12*M11,IF(M10="押二",J6/12*2*M11,IF(M10="押三",J6/12*3*M11,J11*M11))),0)</f>
        <v>0</v>
      </c>
      <c r="K10" s="1827" t="s">
        <v>3041</v>
      </c>
      <c r="L10" s="358" t="s">
        <v>1409</v>
      </c>
      <c r="M10" s="1369" t="s">
        <v>1410</v>
      </c>
    </row>
    <row r="11" spans="1:37" ht="18" customHeight="1">
      <c r="A11" s="353"/>
      <c r="B11" s="1828" t="s">
        <v>1387</v>
      </c>
      <c r="C11" s="1181"/>
      <c r="D11" s="1829"/>
      <c r="E11" s="358" t="s">
        <v>1411</v>
      </c>
      <c r="F11" s="359">
        <f ca="1">'数据-取费表'!B39</f>
        <v>1.4999999999999999E-2</v>
      </c>
      <c r="G11" s="1854"/>
      <c r="H11" s="1302"/>
      <c r="I11" s="1828" t="s">
        <v>1387</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0</v>
      </c>
      <c r="D13" s="1334" t="s">
        <v>1414</v>
      </c>
      <c r="E13" s="1334" t="s">
        <v>1415</v>
      </c>
      <c r="F13" s="1335">
        <f ca="1">INDIRECT("'数据-取费表'!y"&amp;$G$1)</f>
        <v>0</v>
      </c>
      <c r="G13" s="1854"/>
      <c r="H13" s="1332">
        <v>2</v>
      </c>
      <c r="I13" s="1333" t="s">
        <v>1413</v>
      </c>
      <c r="J13" s="1293">
        <f ca="1">ROUND(J14*J15,0)</f>
        <v>0</v>
      </c>
      <c r="K13" s="1340" t="s">
        <v>1414</v>
      </c>
      <c r="L13" s="1855"/>
      <c r="M13" s="1856"/>
    </row>
    <row r="14" spans="1:37" ht="18" customHeight="1">
      <c r="A14" s="1204" t="s">
        <v>1034</v>
      </c>
      <c r="B14" s="347" t="s">
        <v>1416</v>
      </c>
      <c r="C14" s="363">
        <f ca="1">INDIRECT("'数据-取费表'!m"&amp;$G$1)+INDIRECT("'数据-取费表'!t"&amp;$G$1)</f>
        <v>0</v>
      </c>
      <c r="D14" s="1803" t="s">
        <v>1417</v>
      </c>
      <c r="E14" s="1797"/>
      <c r="F14" s="364"/>
      <c r="G14" s="1854"/>
      <c r="H14" s="1204" t="s">
        <v>1035</v>
      </c>
      <c r="I14" s="347" t="s">
        <v>1418</v>
      </c>
      <c r="J14" s="24">
        <f ca="1">C29</f>
        <v>0</v>
      </c>
      <c r="K14" s="15"/>
      <c r="L14" s="982"/>
      <c r="M14" s="983"/>
    </row>
    <row r="15" spans="1:37" s="1861" customFormat="1" ht="18" customHeight="1" thickBot="1">
      <c r="A15" s="1204" t="s">
        <v>1036</v>
      </c>
      <c r="B15" s="347" t="s">
        <v>1419</v>
      </c>
      <c r="C15" s="24">
        <f ca="1">ROUND(C14*F15,0)</f>
        <v>0</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ROUND(INDIRECT("'数据-取费表'!m"&amp;$G$1)*F16,0)</f>
        <v>0</v>
      </c>
      <c r="D16" s="347" t="s">
        <v>1420</v>
      </c>
      <c r="E16" s="347" t="s">
        <v>1421</v>
      </c>
      <c r="F16" s="367">
        <f ca="1">IF(INDIRECT("'数据-取费表'!c"&amp;$G$1)="住宅",'数据-取费表'!B34,0)</f>
        <v>0</v>
      </c>
      <c r="G16" s="1854"/>
      <c r="H16" s="1332" t="s">
        <v>1030</v>
      </c>
      <c r="I16" s="1333" t="s">
        <v>1423</v>
      </c>
      <c r="J16" s="355">
        <f ca="1">ROUND(J17+J22+J23+J24,0)</f>
        <v>0</v>
      </c>
      <c r="K16" s="1340" t="s">
        <v>1424</v>
      </c>
      <c r="L16" s="1341"/>
      <c r="M16" s="1297"/>
    </row>
    <row r="17" spans="1:37" s="1861" customFormat="1" ht="18" customHeight="1">
      <c r="A17" s="1204" t="s">
        <v>1389</v>
      </c>
      <c r="B17" s="347" t="s">
        <v>1425</v>
      </c>
      <c r="C17" s="24">
        <f ca="1">ROUND(F17*(F43+INDIRECT("'数据-取费表'!S"&amp;$G$1))/10000,0)</f>
        <v>0</v>
      </c>
      <c r="D17" s="347" t="s">
        <v>1426</v>
      </c>
      <c r="E17" s="347" t="s">
        <v>1427</v>
      </c>
      <c r="F17" s="26">
        <f>'数据-取费表'!B35</f>
        <v>200</v>
      </c>
      <c r="G17" s="1857"/>
      <c r="H17" s="1204" t="s">
        <v>1035</v>
      </c>
      <c r="I17" s="347" t="s">
        <v>1428</v>
      </c>
      <c r="J17" s="24">
        <f ca="1">ROUND(IF(项目基本情况!B11="自然人",J5*M17,J18+J19+J20),1)</f>
        <v>0</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0</v>
      </c>
      <c r="D18" s="347" t="s">
        <v>1420</v>
      </c>
      <c r="E18" s="347" t="s">
        <v>1421</v>
      </c>
      <c r="F18" s="367">
        <f>'数据-取费表'!B36</f>
        <v>1.4999999999999999E-2</v>
      </c>
      <c r="G18" s="1857"/>
      <c r="H18" s="1204" t="s">
        <v>1034</v>
      </c>
      <c r="I18" s="347" t="s">
        <v>1432</v>
      </c>
      <c r="J18" s="24">
        <f ca="1">ROUND(J5*M18/(1+'数据-取费表'!C42),2)</f>
        <v>0</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0</v>
      </c>
      <c r="D19" s="140" t="s">
        <v>1435</v>
      </c>
      <c r="E19" s="1821"/>
      <c r="F19" s="26"/>
      <c r="G19" s="1854"/>
      <c r="H19" s="1204" t="s">
        <v>1036</v>
      </c>
      <c r="I19" s="347" t="s">
        <v>1436</v>
      </c>
      <c r="J19" s="24">
        <f ca="1">IF(K19="按租金收入计税",ROUND(J5*M19,2),ROUND(C29*M19*0.7,2))</f>
        <v>0</v>
      </c>
      <c r="K19" s="1831" t="s">
        <v>1437</v>
      </c>
      <c r="L19" s="347" t="s">
        <v>1421</v>
      </c>
      <c r="M19" s="367">
        <f>IF(K19="按租金收入计税",'数据-取费表'!B51,'数据-取费表'!B50)</f>
        <v>1.2E-2</v>
      </c>
    </row>
    <row r="20" spans="1:37" s="1861" customFormat="1" ht="18" customHeight="1">
      <c r="A20" s="1204" t="s">
        <v>1039</v>
      </c>
      <c r="B20" s="347" t="s">
        <v>1438</v>
      </c>
      <c r="C20" s="24">
        <f ca="1">ROUND(C19*F20,0)</f>
        <v>0</v>
      </c>
      <c r="D20" s="369" t="s">
        <v>1439</v>
      </c>
      <c r="E20" s="347" t="s">
        <v>1421</v>
      </c>
      <c r="F20" s="367">
        <f>'数据-取费表'!B37</f>
        <v>0.02</v>
      </c>
      <c r="G20" s="1857"/>
      <c r="H20" s="1204" t="s">
        <v>1388</v>
      </c>
      <c r="I20" s="164" t="s">
        <v>1440</v>
      </c>
      <c r="J20" s="25">
        <f ca="1">ROUND(M20*M21/10000,2)</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18</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ROUND(J14*M22,1)</f>
        <v>0</v>
      </c>
      <c r="K22" s="1801" t="s">
        <v>1449</v>
      </c>
      <c r="L22" s="347" t="s">
        <v>1421</v>
      </c>
      <c r="M22" s="374">
        <f ca="1">INDIRECT("'数据-取费表'!Ak"&amp;$G$1)</f>
        <v>0</v>
      </c>
    </row>
    <row r="23" spans="1:37" s="1861" customFormat="1" ht="18" customHeight="1">
      <c r="A23" s="1204"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ROUND(J13*M23,1)</f>
        <v>0</v>
      </c>
      <c r="K23" s="1801" t="s">
        <v>1453</v>
      </c>
      <c r="L23" s="347" t="s">
        <v>1454</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ROUND(J5*M24,1)</f>
        <v>0</v>
      </c>
      <c r="K24" s="1345" t="s">
        <v>1458</v>
      </c>
      <c r="L24" s="1343" t="s">
        <v>1454</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1459</v>
      </c>
      <c r="B25" s="347" t="s">
        <v>1460</v>
      </c>
      <c r="C25" s="24"/>
      <c r="D25" s="140" t="s">
        <v>1461</v>
      </c>
      <c r="E25" s="1821"/>
      <c r="F25" s="26"/>
      <c r="G25" s="1854"/>
      <c r="H25" s="1332" t="s">
        <v>1031</v>
      </c>
      <c r="I25" s="1347" t="s">
        <v>1462</v>
      </c>
      <c r="J25" s="355">
        <f ca="1">J5-J16</f>
        <v>0</v>
      </c>
      <c r="K25" s="1348" t="s">
        <v>1463</v>
      </c>
      <c r="L25" s="1349"/>
      <c r="M25" s="1350"/>
    </row>
    <row r="26" spans="1:37">
      <c r="A26" s="1204" t="s">
        <v>1034</v>
      </c>
      <c r="B26" s="347" t="s">
        <v>1464</v>
      </c>
      <c r="C26" s="24">
        <f ca="1">ROUND((C19+C20)*F26,0)</f>
        <v>0</v>
      </c>
      <c r="D26" s="369" t="s">
        <v>1465</v>
      </c>
      <c r="E26" s="358" t="s">
        <v>1466</v>
      </c>
      <c r="F26" s="357">
        <f ca="1">INDIRECT("'数据-取费表'!q"&amp;$G$1)</f>
        <v>0</v>
      </c>
      <c r="G26" s="1854"/>
      <c r="H26" s="344" t="s">
        <v>1032</v>
      </c>
      <c r="I26" s="345" t="s">
        <v>1467</v>
      </c>
      <c r="J26" s="346">
        <f ca="1">IF(J5&lt;&gt;0,ROUND(J25*(1-((1+M28)/(1+M26))^M27)/(M26-M28),0),0)</f>
        <v>0</v>
      </c>
      <c r="K26" s="370" t="s">
        <v>1468</v>
      </c>
      <c r="L26" s="347" t="s">
        <v>1469</v>
      </c>
      <c r="M26" s="357">
        <f ca="1">INDIRECT("'数据-取费表'!I"&amp;$G$1)</f>
        <v>0</v>
      </c>
    </row>
    <row r="27" spans="1:37" ht="18" customHeight="1">
      <c r="A27" s="1204" t="s">
        <v>1036</v>
      </c>
      <c r="B27" s="347" t="s">
        <v>1470</v>
      </c>
      <c r="C27" s="24">
        <f ca="1">ROUND(F21*F26,4)</f>
        <v>0</v>
      </c>
      <c r="D27" s="369" t="s">
        <v>1471</v>
      </c>
      <c r="E27" s="365"/>
      <c r="F27" s="366"/>
      <c r="G27" s="1854"/>
      <c r="H27" s="349"/>
      <c r="I27" s="350"/>
      <c r="J27" s="351"/>
      <c r="K27" s="378" t="s">
        <v>1472</v>
      </c>
      <c r="L27" s="347" t="s">
        <v>1473</v>
      </c>
      <c r="M27" s="379">
        <f ca="1">INDIRECT("'数据-取费表'!ag"&amp;$G$1)</f>
        <v>0</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0</v>
      </c>
      <c r="D29" s="1345"/>
      <c r="E29" s="1343"/>
      <c r="F29" s="1346"/>
      <c r="G29" s="1857"/>
      <c r="H29" s="380" t="s">
        <v>1033</v>
      </c>
      <c r="I29" s="381" t="s">
        <v>1478</v>
      </c>
      <c r="J29" s="382">
        <f ca="1">ROUND(J26/(1+F40)^F41,0)</f>
        <v>0</v>
      </c>
      <c r="K29" s="383" t="s">
        <v>1479</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0</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ROUND(IF(项目基本情况!B11="自然人",C5*F31,C32+C33+C34),1)</f>
        <v>0</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IF(项目基本情况!B11="自然人","——",ROUND(C5*F32/(1+'数据-取费表'!C42),2))</f>
        <v>0</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IF(项目基本情况!B11="自然人","——",IF(D33="按租金收入计税",ROUND(C5*F33,2),IF(D33="按房产原值计税",ROUND(C29*F33*0.7,2),INDIRECT("'数据-取费表'!Aj"&amp;$G$1))))</f>
        <v>0</v>
      </c>
      <c r="D33" s="1831" t="s">
        <v>1437</v>
      </c>
      <c r="E33" s="347" t="s">
        <v>1421</v>
      </c>
      <c r="F33" s="367">
        <f>IF(D33="按票据","——",IF(D33="按租金收入计税",'数据-取费表'!B51,'数据-取费表'!B50))</f>
        <v>1.2E-2</v>
      </c>
      <c r="G33" s="1854"/>
      <c r="H33" s="1862"/>
      <c r="I33" s="1863"/>
      <c r="J33" s="1864"/>
      <c r="K33" s="1865"/>
      <c r="L33" s="1862"/>
      <c r="M33" s="1862"/>
    </row>
    <row r="34" spans="1:18" ht="18" customHeight="1">
      <c r="A34" s="1294" t="s">
        <v>1388</v>
      </c>
      <c r="B34" s="164" t="s">
        <v>1440</v>
      </c>
      <c r="C34" s="25">
        <f ca="1">IF(项目基本情况!B11="自然人","——",ROUND(F34*F35/10000,2))</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ROUND(C29*F36,1)</f>
        <v>0</v>
      </c>
      <c r="D36" s="1801" t="s">
        <v>1481</v>
      </c>
      <c r="E36" s="347" t="s">
        <v>1421</v>
      </c>
      <c r="F36" s="374">
        <f ca="1">INDIRECT("'数据-取费表'!Ak"&amp;$G$1)</f>
        <v>0</v>
      </c>
      <c r="G36" s="1854"/>
      <c r="H36" s="1862"/>
      <c r="I36" s="1863"/>
      <c r="J36" s="1864"/>
      <c r="K36" s="751"/>
      <c r="L36" s="1862"/>
      <c r="M36" s="1862"/>
    </row>
    <row r="37" spans="1:18" ht="18" customHeight="1">
      <c r="A37" s="1204" t="s">
        <v>1075</v>
      </c>
      <c r="B37" s="347" t="s">
        <v>1452</v>
      </c>
      <c r="C37" s="24">
        <f ca="1">ROUND(C13*F37,1)</f>
        <v>0</v>
      </c>
      <c r="D37" s="1801" t="s">
        <v>1453</v>
      </c>
      <c r="E37" s="347" t="s">
        <v>1454</v>
      </c>
      <c r="F37" s="376">
        <f ca="1">INDIRECT("'数据-取费表'!Al"&amp;$G$1)</f>
        <v>0</v>
      </c>
      <c r="G37" s="1854"/>
      <c r="H37" s="1862"/>
      <c r="I37" s="1863"/>
      <c r="J37" s="1864"/>
      <c r="K37" s="751"/>
      <c r="L37" s="1862"/>
      <c r="M37" s="1862"/>
    </row>
    <row r="38" spans="1:18" ht="18" customHeight="1" thickBot="1">
      <c r="A38" s="1342" t="s">
        <v>1392</v>
      </c>
      <c r="B38" s="1343" t="s">
        <v>1438</v>
      </c>
      <c r="C38" s="1344">
        <f ca="1">ROUND(C5*F38,1)</f>
        <v>0</v>
      </c>
      <c r="D38" s="1345" t="s">
        <v>1458</v>
      </c>
      <c r="E38" s="1343" t="s">
        <v>1454</v>
      </c>
      <c r="F38" s="1339">
        <f ca="1">INDIRECT("'数据-取费表'!Am"&amp;$G$1)</f>
        <v>0</v>
      </c>
      <c r="G38" s="1854"/>
      <c r="H38" s="1862"/>
      <c r="I38" s="1863"/>
      <c r="J38" s="1864"/>
      <c r="K38" s="1868"/>
      <c r="L38" s="1862"/>
      <c r="M38" s="1862"/>
    </row>
    <row r="39" spans="1:18" ht="24.6" customHeight="1" thickTop="1">
      <c r="A39" s="1332" t="s">
        <v>1031</v>
      </c>
      <c r="B39" s="1347" t="s">
        <v>1482</v>
      </c>
      <c r="C39" s="355">
        <f ca="1">C5-C30</f>
        <v>0</v>
      </c>
      <c r="D39" s="1348" t="s">
        <v>1483</v>
      </c>
      <c r="E39" s="1349"/>
      <c r="F39" s="1350"/>
      <c r="G39" s="1854"/>
      <c r="H39" s="1862"/>
      <c r="I39" s="1863"/>
      <c r="J39" s="1864"/>
      <c r="K39" s="1868"/>
      <c r="L39" s="1862"/>
      <c r="M39" s="1862"/>
    </row>
    <row r="40" spans="1:18" ht="18" customHeight="1">
      <c r="A40" s="344" t="s">
        <v>1032</v>
      </c>
      <c r="B40" s="345" t="s">
        <v>1484</v>
      </c>
      <c r="C40" s="346" t="e">
        <f ca="1">ROUND(C39*(1-((1+F42)/(1+F40))^F41)/(F40-F42),0)</f>
        <v>#DIV/0!</v>
      </c>
      <c r="D40" s="370" t="s">
        <v>1468</v>
      </c>
      <c r="E40" s="347" t="s">
        <v>1469</v>
      </c>
      <c r="F40" s="357">
        <f ca="1">INDIRECT("'数据-取费表'!I"&amp;$G$1)</f>
        <v>0</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1476</v>
      </c>
      <c r="F42" s="357">
        <f ca="1">INDIRECT("'数据-取费表'!v"&amp;$G$1)</f>
        <v>0</v>
      </c>
      <c r="G42" s="1854"/>
      <c r="H42" s="732"/>
      <c r="I42" s="1863"/>
      <c r="J42" s="1864"/>
      <c r="K42" s="751"/>
      <c r="L42" s="732"/>
      <c r="M42" s="732"/>
    </row>
    <row r="43" spans="1:18" ht="18" customHeight="1" thickBot="1">
      <c r="A43" s="380" t="s">
        <v>1033</v>
      </c>
      <c r="B43" s="381" t="s">
        <v>1486</v>
      </c>
      <c r="C43" s="382" t="e">
        <f ca="1">ROUND(C40*10000/F43,0)</f>
        <v>#DIV/0!</v>
      </c>
      <c r="D43" s="383" t="s">
        <v>1487</v>
      </c>
      <c r="E43" s="384" t="s">
        <v>1488</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1518</v>
      </c>
      <c r="P45" s="1842"/>
      <c r="Q45" s="1842"/>
      <c r="R45" s="1842"/>
    </row>
    <row r="46" spans="1:18" s="1845" customFormat="1" ht="13.5" thickBot="1">
      <c r="A46" s="1873" t="s">
        <v>1519</v>
      </c>
      <c r="C46" s="1874" t="e">
        <f ca="1">C68-C40</f>
        <v>#DIV/0!</v>
      </c>
      <c r="D46" s="1875" t="str">
        <f>C2</f>
        <v>万元</v>
      </c>
      <c r="E46" s="1869"/>
      <c r="F46" s="1869"/>
      <c r="I46" s="1876" t="s">
        <v>1520</v>
      </c>
      <c r="J46" s="1877"/>
      <c r="K46" s="1878"/>
      <c r="L46" s="1879" t="e">
        <f ca="1">IF(M47="住宅",0,IF(L48&gt;J51,L60,J60))</f>
        <v>#DIV/0!</v>
      </c>
      <c r="O46" s="1880" t="s">
        <v>1521</v>
      </c>
      <c r="P46" s="1881" t="s">
        <v>1522</v>
      </c>
      <c r="Q46" s="1882" t="s">
        <v>1523</v>
      </c>
      <c r="R46" s="1882" t="s">
        <v>1524</v>
      </c>
    </row>
    <row r="47" spans="1:18" s="1845" customFormat="1" ht="13.5" thickBot="1">
      <c r="A47" s="1168" t="s">
        <v>1395</v>
      </c>
      <c r="B47" s="1200" t="s">
        <v>1396</v>
      </c>
      <c r="C47" s="1370" t="s">
        <v>1397</v>
      </c>
      <c r="D47" s="1200" t="s">
        <v>1398</v>
      </c>
      <c r="E47" s="1282" t="s">
        <v>1399</v>
      </c>
      <c r="F47" s="1283"/>
      <c r="G47" s="792"/>
      <c r="I47" s="1883" t="s">
        <v>1525</v>
      </c>
      <c r="J47" s="1884"/>
      <c r="K47" s="1885" t="s">
        <v>1526</v>
      </c>
      <c r="L47" s="1886">
        <f ca="1">INDIRECT("'数据-取费表'!d"&amp;$G$1)</f>
        <v>40</v>
      </c>
      <c r="M47" s="1841" t="str">
        <f>IF(ISNUMBER(FIND("住宅",C1)),"住宅","非住宅")</f>
        <v>非住宅</v>
      </c>
      <c r="O47" s="1887" t="s">
        <v>1040</v>
      </c>
      <c r="P47" s="1888" t="s">
        <v>1527</v>
      </c>
      <c r="Q47" s="1889" t="e">
        <f ca="1">C40+J29</f>
        <v>#DIV/0!</v>
      </c>
      <c r="R47" s="1889" t="s">
        <v>1528</v>
      </c>
    </row>
    <row r="48" spans="1:18" s="1845" customFormat="1" ht="28.5" thickBot="1">
      <c r="A48" s="1363" t="s">
        <v>1135</v>
      </c>
      <c r="B48" s="345" t="s">
        <v>1400</v>
      </c>
      <c r="C48" s="1820">
        <f ca="1">C49+C53+C55</f>
        <v>0</v>
      </c>
      <c r="D48" s="1365"/>
      <c r="E48" s="1366"/>
      <c r="F48" s="1184"/>
      <c r="G48" s="792"/>
      <c r="H48" s="793"/>
      <c r="I48" s="1890" t="s">
        <v>1529</v>
      </c>
      <c r="J48" s="1891"/>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ROUND(F49*F51*F50*(1-F52)/10000,0)</f>
        <v>0</v>
      </c>
      <c r="D49" s="1279" t="s">
        <v>3034</v>
      </c>
      <c r="E49" s="1833" t="s">
        <v>1490</v>
      </c>
      <c r="F49" s="1284"/>
      <c r="G49" s="1894"/>
      <c r="H49" s="793"/>
      <c r="I49" s="1890" t="s">
        <v>1533</v>
      </c>
      <c r="J49" s="1895"/>
      <c r="K49" s="1892" t="s">
        <v>1534</v>
      </c>
      <c r="L49" s="1896"/>
      <c r="O49" s="1897" t="s">
        <v>1042</v>
      </c>
      <c r="P49" s="1888" t="s">
        <v>1535</v>
      </c>
      <c r="Q49" s="1889">
        <f ca="1">C29</f>
        <v>0</v>
      </c>
      <c r="R49" s="1889" t="s">
        <v>1528</v>
      </c>
    </row>
    <row r="50" spans="1:18" s="1845" customFormat="1" ht="13.5" thickBot="1">
      <c r="A50" s="1198"/>
      <c r="B50" s="1201"/>
      <c r="C50" s="1371"/>
      <c r="D50" s="1175"/>
      <c r="E50" s="1280" t="s">
        <v>1405</v>
      </c>
      <c r="F50" s="1281">
        <f ca="1">F7</f>
        <v>0</v>
      </c>
      <c r="H50" s="793"/>
      <c r="I50" s="1890" t="s">
        <v>1536</v>
      </c>
      <c r="J50" s="1898">
        <f>SUMPRODUCT((I63:I65=J47)*(J62:L62=J48)*(J63:L65))</f>
        <v>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0</v>
      </c>
      <c r="I51" s="1901" t="s">
        <v>1539</v>
      </c>
      <c r="J51" s="1902">
        <f>IF(J49="",J50,J49+J50-YEAR('数据-取费表'!B2))</f>
        <v>0</v>
      </c>
      <c r="K51" s="1903" t="s">
        <v>1540</v>
      </c>
      <c r="L51" s="1904">
        <f ca="1">ROUND(-PV(INDIRECT("'数据-取费表'!h"&amp;$G$1),L48,(C39-C13*C76),0),0)</f>
        <v>0</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t="b">
        <f>J53</f>
        <v>0</v>
      </c>
      <c r="R52" s="1889" t="s">
        <v>1545</v>
      </c>
    </row>
    <row r="53" spans="1:18" s="1845" customFormat="1" ht="24.75" thickBot="1">
      <c r="A53" s="1408" t="s">
        <v>1137</v>
      </c>
      <c r="B53" s="1834" t="s">
        <v>1408</v>
      </c>
      <c r="C53" s="361">
        <f ca="1">ROUND(IF(F53="押一",C49/12*F11,IF(F53="押二",C49/12*2*F11,IF(F53="押三",C49/12*3*F11,C54*F11))),0)</f>
        <v>0</v>
      </c>
      <c r="D53" s="1827" t="s">
        <v>3041</v>
      </c>
      <c r="E53" s="358" t="s">
        <v>1409</v>
      </c>
      <c r="F53" s="1369"/>
      <c r="I53" s="1908" t="s">
        <v>1546</v>
      </c>
      <c r="J53" s="1909" t="b">
        <f>IF(M47="住宅",IF(D1="——",MAX(J51,L48),IF(D1="在建（套用方法）",MAX(J51,L48-'数据-取费表'!B24),MAX(J51,L48-'数据-取费表'!B20))),IF(D1="——",MIN(J51,L48),IF(D1="在建（套用方法）",MIN(J51,L48-'数据-取费表'!B24),IF(D1="土地（套用方法）",MIN(J51,L48-'数据-取费表'!B20)))))</f>
        <v>0</v>
      </c>
      <c r="K53" s="3186" t="s">
        <v>1547</v>
      </c>
      <c r="L53" s="3187"/>
      <c r="O53" s="1887" t="s">
        <v>1046</v>
      </c>
      <c r="P53" s="1888" t="s">
        <v>1548</v>
      </c>
      <c r="Q53" s="1889" t="e">
        <f ca="1">Q47+Q48</f>
        <v>#DIV/0!</v>
      </c>
      <c r="R53" s="1889" t="s">
        <v>1047</v>
      </c>
    </row>
    <row r="54" spans="1:18" s="1845" customFormat="1" ht="13.5" thickBot="1">
      <c r="A54" s="1409"/>
      <c r="B54" s="1828" t="s">
        <v>1387</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t="s">
        <v>1552</v>
      </c>
      <c r="O55" s="1880" t="s">
        <v>1521</v>
      </c>
      <c r="P55" s="1881" t="s">
        <v>1522</v>
      </c>
      <c r="Q55" s="1882" t="s">
        <v>1523</v>
      </c>
      <c r="R55" s="1882" t="s">
        <v>1524</v>
      </c>
    </row>
    <row r="56" spans="1:18" s="1845" customFormat="1" ht="25.5" thickTop="1" thickBot="1">
      <c r="A56" s="1179">
        <v>2</v>
      </c>
      <c r="B56" s="1180" t="s">
        <v>1413</v>
      </c>
      <c r="C56" s="276">
        <f ca="1">C13</f>
        <v>0</v>
      </c>
      <c r="D56" s="1917"/>
      <c r="E56" s="1918"/>
      <c r="F56" s="1910"/>
      <c r="I56" s="1919" t="s">
        <v>1553</v>
      </c>
      <c r="J56" s="1920"/>
      <c r="K56" s="1890" t="s">
        <v>1554</v>
      </c>
      <c r="L56" s="1893">
        <f ca="1">IF(L48&lt;J51,"——",L48-J53)</f>
        <v>25.55</v>
      </c>
      <c r="O56" s="1887" t="s">
        <v>1040</v>
      </c>
      <c r="P56" s="1888" t="s">
        <v>1527</v>
      </c>
      <c r="Q56" s="1889" t="e">
        <f ca="1">C40+J29</f>
        <v>#DIV/0!</v>
      </c>
      <c r="R56" s="1889" t="s">
        <v>1528</v>
      </c>
    </row>
    <row r="57" spans="1:18" s="1845" customFormat="1" ht="24.75" thickBot="1">
      <c r="A57" s="1921"/>
      <c r="B57" s="1172" t="s">
        <v>1477</v>
      </c>
      <c r="C57" s="282">
        <f ca="1">C29</f>
        <v>0</v>
      </c>
      <c r="D57" s="1922"/>
      <c r="E57" s="1923"/>
      <c r="F57" s="1924"/>
      <c r="I57" s="1925" t="s">
        <v>1555</v>
      </c>
      <c r="J57" s="1926" t="str">
        <f ca="1">IF(OR(M47="住宅",J51&lt;L48,J56="是"),"——",J51-L48)</f>
        <v>——</v>
      </c>
      <c r="K57" s="1890" t="s">
        <v>1556</v>
      </c>
      <c r="L57" s="1893">
        <f ca="1">IF(L48&lt;J51,"——",IF(L55="比较法",L49,IF(L55="基准地价",L50,L51)))</f>
        <v>0</v>
      </c>
      <c r="O57" s="1887" t="s">
        <v>1041</v>
      </c>
      <c r="P57" s="1888" t="s">
        <v>1557</v>
      </c>
      <c r="Q57" s="1889" t="e">
        <f ca="1">L60</f>
        <v>#DIV/0!</v>
      </c>
      <c r="R57" s="1889" t="s">
        <v>1558</v>
      </c>
    </row>
    <row r="58" spans="1:18" s="1845" customFormat="1" ht="24.75" thickBot="1">
      <c r="A58" s="360" t="s">
        <v>1030</v>
      </c>
      <c r="B58" s="1180" t="s">
        <v>1423</v>
      </c>
      <c r="C58" s="361">
        <f ca="1">ROUND(C59+C64+C65+C66,0)</f>
        <v>0</v>
      </c>
      <c r="D58" s="1182" t="s">
        <v>1424</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ROUND(IF(项目基本情况!B11="自然人",C48*F59,C60+C61+C62),1)</f>
        <v>0</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IF(项目基本情况!B11="自然人","——",ROUND(C48*F60/(1+'数据-取费表'!C42),2))</f>
        <v>0</v>
      </c>
      <c r="D60" s="1186" t="s">
        <v>1433</v>
      </c>
      <c r="E60" s="1172" t="s">
        <v>1421</v>
      </c>
      <c r="F60" s="377">
        <f t="shared" ref="F60:F66" si="0">F32</f>
        <v>5.6000000000000001E-2</v>
      </c>
      <c r="I60" s="1928" t="s">
        <v>1564</v>
      </c>
      <c r="J60" s="1929" t="str">
        <f ca="1">IF(OR(M47="住宅",J51&lt;L48,J56="是"),"0",ROUND(J59/(1+J52)^J53,0))</f>
        <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IF(项目基本情况!B11="自然人","——",IF(D61="按租金收入计税",ROUND(C48*F61,2),IF(D61="按房产原值计税",ROUND(C57*F61*0.7,2),INDIRECT("'数据-取费表'!Aj"&amp;$G$1))))</f>
        <v>0</v>
      </c>
      <c r="D61" s="1831" t="s">
        <v>1437</v>
      </c>
      <c r="E61" s="1172" t="s">
        <v>1493</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1494</v>
      </c>
      <c r="B62" s="1171" t="s">
        <v>1495</v>
      </c>
      <c r="C62" s="25">
        <f ca="1">IF(项目基本情况!B11="自然人","——",ROUND(F62*F63/10000,2))</f>
        <v>0</v>
      </c>
      <c r="D62" s="1187" t="s">
        <v>1496</v>
      </c>
      <c r="E62" s="1172" t="s">
        <v>1497</v>
      </c>
      <c r="F62" s="371">
        <f t="shared" si="0"/>
        <v>3</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1498</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ROUND(C57*F64,1)</f>
        <v>0</v>
      </c>
      <c r="D64" s="1186" t="s">
        <v>1501</v>
      </c>
      <c r="E64" s="1172" t="s">
        <v>1493</v>
      </c>
      <c r="F64" s="374">
        <f t="shared" ca="1" si="0"/>
        <v>0</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ROUND(C56*F65,1)</f>
        <v>0</v>
      </c>
      <c r="D65" s="1186" t="s">
        <v>1453</v>
      </c>
      <c r="E65" s="1172" t="s">
        <v>1454</v>
      </c>
      <c r="F65" s="376">
        <f t="shared" ca="1" si="0"/>
        <v>0</v>
      </c>
      <c r="I65" s="1932" t="s">
        <v>1578</v>
      </c>
      <c r="J65" s="1933">
        <v>40</v>
      </c>
      <c r="K65" s="1933">
        <v>30</v>
      </c>
      <c r="L65" s="1933">
        <v>50</v>
      </c>
      <c r="M65" s="1935">
        <v>0.02</v>
      </c>
      <c r="O65" s="1887" t="s">
        <v>1040</v>
      </c>
      <c r="P65" s="1888" t="s">
        <v>1579</v>
      </c>
      <c r="Q65" s="1889" t="e">
        <f ca="1">C40+J29</f>
        <v>#DIV/0!</v>
      </c>
      <c r="R65" s="1889" t="s">
        <v>1528</v>
      </c>
    </row>
    <row r="66" spans="1:18" s="1845" customFormat="1" ht="16.5" thickBot="1">
      <c r="A66" s="1204" t="s">
        <v>1503</v>
      </c>
      <c r="B66" s="1172" t="s">
        <v>1438</v>
      </c>
      <c r="C66" s="24">
        <f ca="1">ROUND(C48*F66,1)</f>
        <v>0</v>
      </c>
      <c r="D66" s="1186" t="s">
        <v>1504</v>
      </c>
      <c r="E66" s="1172" t="s">
        <v>1421</v>
      </c>
      <c r="F66" s="357">
        <f t="shared" ca="1" si="0"/>
        <v>0</v>
      </c>
      <c r="O66" s="1887" t="s">
        <v>1041</v>
      </c>
      <c r="P66" s="1888" t="s">
        <v>1557</v>
      </c>
      <c r="Q66" s="1889" t="e">
        <f ca="1">L60</f>
        <v>#DIV/0!</v>
      </c>
      <c r="R66" s="1889" t="s">
        <v>1580</v>
      </c>
    </row>
    <row r="67" spans="1:18" s="1845" customFormat="1" ht="16.5" thickBot="1">
      <c r="A67" s="1179" t="s">
        <v>1031</v>
      </c>
      <c r="B67" s="1189" t="s">
        <v>1462</v>
      </c>
      <c r="C67" s="361">
        <f ca="1">C48-C58</f>
        <v>0</v>
      </c>
      <c r="D67" s="1185" t="s">
        <v>1463</v>
      </c>
      <c r="E67" s="1190"/>
      <c r="F67" s="1191"/>
      <c r="O67" s="1897" t="s">
        <v>1042</v>
      </c>
      <c r="P67" s="1888" t="s">
        <v>1561</v>
      </c>
      <c r="Q67" s="1936">
        <f ca="1">L51</f>
        <v>0</v>
      </c>
      <c r="R67" s="1889" t="s">
        <v>1581</v>
      </c>
    </row>
    <row r="68" spans="1:18" s="1845" customFormat="1" ht="16.5" thickBot="1">
      <c r="A68" s="1169" t="s">
        <v>1032</v>
      </c>
      <c r="B68" s="1170" t="s">
        <v>1484</v>
      </c>
      <c r="C68" s="346" t="e">
        <f ca="1">ROUND(C67*(1-((1+F70)/(1+F68))^F69)/(F68-F70),0)</f>
        <v>#DIV/0!</v>
      </c>
      <c r="D68" s="1187" t="s">
        <v>1468</v>
      </c>
      <c r="E68" s="1172" t="s">
        <v>1469</v>
      </c>
      <c r="F68" s="357">
        <f ca="1">F40</f>
        <v>0</v>
      </c>
      <c r="O68" s="1897" t="s">
        <v>1043</v>
      </c>
      <c r="P68" s="1937" t="s">
        <v>1582</v>
      </c>
      <c r="Q68" s="1889">
        <f ca="1">ROUND(Q69-Q70*Q71,0)</f>
        <v>0</v>
      </c>
      <c r="R68" s="1889" t="s">
        <v>1051</v>
      </c>
    </row>
    <row r="69" spans="1:18" s="1845" customFormat="1" ht="13.5" thickBot="1">
      <c r="A69" s="1173"/>
      <c r="B69" s="1174"/>
      <c r="C69" s="351"/>
      <c r="D69" s="1192" t="s">
        <v>1472</v>
      </c>
      <c r="E69" s="1172" t="s">
        <v>1473</v>
      </c>
      <c r="F69" s="379">
        <f ca="1">F41</f>
        <v>0</v>
      </c>
      <c r="O69" s="1897" t="s">
        <v>1048</v>
      </c>
      <c r="P69" s="1937" t="s">
        <v>1583</v>
      </c>
      <c r="Q69" s="1889">
        <f ca="1">C39</f>
        <v>0</v>
      </c>
      <c r="R69" s="1889" t="s">
        <v>1528</v>
      </c>
    </row>
    <row r="70" spans="1:18" s="1845" customFormat="1" ht="13.5" thickBot="1">
      <c r="A70" s="1176"/>
      <c r="B70" s="1177"/>
      <c r="C70" s="355"/>
      <c r="D70" s="1188"/>
      <c r="E70" s="1172" t="s">
        <v>1476</v>
      </c>
      <c r="F70" s="1278"/>
      <c r="O70" s="1897" t="s">
        <v>1049</v>
      </c>
      <c r="P70" s="1937" t="s">
        <v>1584</v>
      </c>
      <c r="Q70" s="1889">
        <f ca="1">C13</f>
        <v>0</v>
      </c>
      <c r="R70" s="1889" t="s">
        <v>1528</v>
      </c>
    </row>
    <row r="71" spans="1:18" s="1845" customFormat="1" ht="13.5" thickBot="1">
      <c r="A71" s="1193" t="s">
        <v>1033</v>
      </c>
      <c r="B71" s="1194" t="s">
        <v>1486</v>
      </c>
      <c r="C71" s="382" t="e">
        <f ca="1">ROUND(C68*10000/F71,0)</f>
        <v>#DIV/0!</v>
      </c>
      <c r="D71" s="1195" t="s">
        <v>1487</v>
      </c>
      <c r="E71" s="1196" t="s">
        <v>1488</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1505</v>
      </c>
      <c r="C75" s="387">
        <f ca="1">ROUND(C13*C76,0)</f>
        <v>0</v>
      </c>
      <c r="D75" s="1845"/>
      <c r="E75" s="1845"/>
      <c r="F75" s="1845"/>
      <c r="K75" s="1871"/>
      <c r="L75" s="1845"/>
      <c r="O75" s="1887" t="s">
        <v>1046</v>
      </c>
      <c r="P75" s="1888" t="s">
        <v>1548</v>
      </c>
      <c r="Q75" s="1889" t="e">
        <f ca="1">Q65+Q66</f>
        <v>#DIV/0!</v>
      </c>
      <c r="R75" s="1889" t="s">
        <v>1047</v>
      </c>
    </row>
    <row r="76" spans="1:18">
      <c r="B76" s="388" t="s">
        <v>1506</v>
      </c>
      <c r="C76" s="389">
        <f ca="1">INDIRECT("'数据-取费表'!j"&amp;$G$1)</f>
        <v>0</v>
      </c>
      <c r="I76" s="1845"/>
      <c r="J76" s="1845"/>
      <c r="K76" s="1871"/>
      <c r="L76" s="1845"/>
    </row>
    <row r="77" spans="1:18">
      <c r="B77" s="390" t="s">
        <v>1507</v>
      </c>
      <c r="C77" s="391"/>
      <c r="I77" s="1845"/>
      <c r="J77" s="1845"/>
      <c r="K77" s="1871"/>
      <c r="L77" s="1845"/>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57"/>
  <sheetViews>
    <sheetView workbookViewId="0">
      <selection activeCell="L30" sqref="L3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3060</v>
      </c>
      <c r="C1" s="2559" t="s">
        <v>2431</v>
      </c>
      <c r="D1" s="242"/>
      <c r="E1" s="242"/>
      <c r="F1" s="242"/>
      <c r="G1" s="1382" t="e">
        <f>MATCH(B1,'数据-取费表'!A6:A16,0)+5</f>
        <v>#N/A</v>
      </c>
      <c r="H1" s="1285" t="str">
        <f>IF(ISERROR(FIND("住宅",B1)),"非住宅","住宅")</f>
        <v>非住宅</v>
      </c>
    </row>
    <row r="2" spans="1:8" s="244" customFormat="1" ht="18" customHeight="1">
      <c r="A2" s="245" t="s">
        <v>1393</v>
      </c>
      <c r="B2" s="246" t="e">
        <f ca="1">ROUND(IF(D2="——",C52/10000,C52/10000-E2),0)</f>
        <v>#N/A</v>
      </c>
      <c r="C2" s="243" t="s">
        <v>2331</v>
      </c>
      <c r="D2" s="2553" t="s">
        <v>70</v>
      </c>
      <c r="E2" s="1443" t="e">
        <f ca="1">SUMIF(INDIRECT("'"&amp;G2&amp;"'"&amp;"!A:A"),"承租人权益价值",INDIRECT("'"&amp;G2&amp;"'"&amp;"!c:c"))</f>
        <v>#REF!</v>
      </c>
      <c r="F2" s="2554" t="s">
        <v>2331</v>
      </c>
      <c r="G2" s="2555"/>
    </row>
    <row r="3" spans="1:8" s="244" customFormat="1" ht="18" customHeight="1" thickBot="1">
      <c r="A3" s="247" t="s">
        <v>1394</v>
      </c>
      <c r="B3" s="248" t="e">
        <f ca="1">ROUND(B2*10000/(IF(B1="",'数据-汇总表'!E3,INDIRECT("'数据-取费表'!k"&amp;$G$1))),0)</f>
        <v>#N/A</v>
      </c>
      <c r="C3" s="243" t="s">
        <v>2333</v>
      </c>
      <c r="D3" s="243"/>
      <c r="E3" s="243"/>
      <c r="F3" s="243"/>
      <c r="G3" s="243"/>
    </row>
    <row r="4" spans="1:8" s="252" customFormat="1" ht="15.75">
      <c r="A4" s="249" t="s">
        <v>2334</v>
      </c>
      <c r="B4" s="250"/>
      <c r="C4" s="250"/>
      <c r="D4" s="250"/>
      <c r="E4" s="250"/>
      <c r="F4" s="250"/>
      <c r="G4" s="251"/>
    </row>
    <row r="5" spans="1:8" s="258" customFormat="1" ht="13.5" customHeight="1">
      <c r="A5" s="299" t="s">
        <v>782</v>
      </c>
      <c r="B5" s="254" t="s">
        <v>2336</v>
      </c>
      <c r="C5" s="255" t="e">
        <f ca="1">C6+C7+C8</f>
        <v>#N/A</v>
      </c>
      <c r="D5" s="255" t="s">
        <v>2337</v>
      </c>
      <c r="E5" s="256" t="s">
        <v>2338</v>
      </c>
      <c r="F5" s="256" t="s">
        <v>2339</v>
      </c>
      <c r="G5" s="257"/>
    </row>
    <row r="6" spans="1:8" s="258" customFormat="1" ht="13.5" customHeight="1">
      <c r="A6" s="952" t="s">
        <v>791</v>
      </c>
      <c r="B6" s="259" t="s">
        <v>2341</v>
      </c>
      <c r="C6" s="260">
        <f ca="1">'基准地价修正 (地下)'!C33*'基准地价修正 (地下)'!D33</f>
        <v>0</v>
      </c>
      <c r="D6" s="261"/>
      <c r="E6" s="262"/>
      <c r="F6" s="262"/>
      <c r="G6" s="263"/>
    </row>
    <row r="7" spans="1:8" s="258" customFormat="1" ht="13.5" customHeight="1">
      <c r="A7" s="952" t="s">
        <v>792</v>
      </c>
      <c r="B7" s="259" t="s">
        <v>2343</v>
      </c>
      <c r="C7" s="264">
        <f ca="1">ROUND(C6*F7,0)</f>
        <v>0</v>
      </c>
      <c r="D7" s="264"/>
      <c r="E7" s="262"/>
      <c r="F7" s="265">
        <f>'数据-取费表'!B48+'数据-取费表'!B49</f>
        <v>3.0499999999999999E-2</v>
      </c>
      <c r="G7" s="263"/>
    </row>
    <row r="8" spans="1:8" s="267" customFormat="1">
      <c r="A8" s="952" t="s">
        <v>793</v>
      </c>
      <c r="B8" s="259" t="s">
        <v>2345</v>
      </c>
      <c r="C8" s="264" t="e">
        <f ca="1">IF(G8="已包含在土地购买价格中",0,C9+C10)</f>
        <v>#N/A</v>
      </c>
      <c r="D8" s="266"/>
      <c r="E8" s="264"/>
      <c r="F8" s="265"/>
      <c r="G8" s="2556" t="s">
        <v>3069</v>
      </c>
    </row>
    <row r="9" spans="1:8" s="258" customFormat="1" ht="13.5" customHeight="1">
      <c r="A9" s="953" t="s">
        <v>800</v>
      </c>
      <c r="B9" s="268" t="s">
        <v>2346</v>
      </c>
      <c r="C9" s="269" t="e">
        <f ca="1">ROUND(D9*E9,0)</f>
        <v>#N/A</v>
      </c>
      <c r="D9" s="1035" t="e">
        <f ca="1">IF(B1="",'数据-汇总表'!E5,IF(INDIRECT("'数据-取费表'!c"&amp;$G$1)="住宅",INDIRECT("'数据-取费表'!k"&amp;$G$1),0))</f>
        <v>#N/A</v>
      </c>
      <c r="E9" s="269">
        <f>'数据-取费表'!B27</f>
        <v>0</v>
      </c>
      <c r="F9" s="265"/>
      <c r="G9" s="270"/>
    </row>
    <row r="10" spans="1:8" s="258" customFormat="1" ht="13.5" customHeight="1">
      <c r="A10" s="953" t="s">
        <v>801</v>
      </c>
      <c r="B10" s="268" t="s">
        <v>2348</v>
      </c>
      <c r="C10" s="269" t="e">
        <f ca="1">ROUND(D10*E10,0)</f>
        <v>#N/A</v>
      </c>
      <c r="D10" s="1035" t="e">
        <f ca="1">IF(B1="",'数据-汇总表'!E6,IF(INDIRECT("'数据-取费表'!c"&amp;$G$1)="住宅",INDIRECT("'数据-取费表'!s"&amp;$G$1),INDIRECT("'数据-取费表'!k"&amp;$G$1)+INDIRECT("'数据-取费表'!s"&amp;$G$1)))</f>
        <v>#N/A</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2350</v>
      </c>
      <c r="C12" s="255">
        <v>0</v>
      </c>
      <c r="D12" s="1037"/>
      <c r="E12" s="272"/>
      <c r="F12" s="265">
        <v>3.0499999999999999E-2</v>
      </c>
      <c r="G12" s="263"/>
    </row>
    <row r="13" spans="1:8" s="258" customFormat="1" ht="13.5" hidden="1" customHeight="1">
      <c r="A13" s="271" t="s">
        <v>9</v>
      </c>
      <c r="B13" s="259" t="s">
        <v>2351</v>
      </c>
      <c r="C13" s="255"/>
      <c r="D13" s="1037"/>
      <c r="E13" s="262"/>
      <c r="F13" s="262"/>
      <c r="G13" s="263"/>
    </row>
    <row r="14" spans="1:8" s="258" customFormat="1" ht="13.5" hidden="1" customHeight="1">
      <c r="A14" s="271" t="s">
        <v>10</v>
      </c>
      <c r="B14" s="259" t="s">
        <v>2345</v>
      </c>
      <c r="C14" s="255"/>
      <c r="D14" s="1037"/>
      <c r="E14" s="262"/>
      <c r="F14" s="262"/>
      <c r="G14" s="263" t="s">
        <v>2353</v>
      </c>
    </row>
    <row r="15" spans="1:8" s="258" customFormat="1" ht="13.5" hidden="1" customHeight="1">
      <c r="A15" s="271" t="s">
        <v>11</v>
      </c>
      <c r="B15" s="259" t="s">
        <v>2354</v>
      </c>
      <c r="C15" s="264"/>
      <c r="D15" s="1037"/>
      <c r="E15" s="262"/>
      <c r="F15" s="262"/>
      <c r="G15" s="263" t="s">
        <v>2355</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t="str">
        <f>IF(G19="已包含在土地取得成本中","0",ROUND(D19*E19,0))</f>
        <v>0</v>
      </c>
      <c r="D19" s="1039" t="e">
        <f ca="1">D9+D10</f>
        <v>#N/A</v>
      </c>
      <c r="E19" s="255">
        <f>'数据-取费表'!B31</f>
        <v>200</v>
      </c>
      <c r="F19" s="275"/>
      <c r="G19" s="2556" t="s">
        <v>3070</v>
      </c>
    </row>
    <row r="20" spans="1:7" s="258" customFormat="1" ht="13.5" customHeight="1">
      <c r="A20" s="299" t="s">
        <v>2361</v>
      </c>
      <c r="B20" s="254" t="s">
        <v>2362</v>
      </c>
      <c r="C20" s="276" t="e">
        <f ca="1">ROUND((C5+C19)*F20,0)</f>
        <v>#N/A</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83" t="e">
        <f ca="1">ROUND(SUM(C23:C25),0)</f>
        <v>#N/A</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791</v>
      </c>
      <c r="B23" s="259" t="s">
        <v>2371</v>
      </c>
      <c r="C23" s="1384" t="e">
        <f ca="1">ROUND(IF('数据-取费表'!B22&lt;=1,C5*F22*'数据-取费表'!B22,C5*(POWER((1+F22),'数据-取费表'!B22)-1)),0)</f>
        <v>#N/A</v>
      </c>
      <c r="D23" s="282"/>
      <c r="E23" s="282"/>
      <c r="F23" s="283"/>
      <c r="G23" s="284" t="s">
        <v>2372</v>
      </c>
    </row>
    <row r="24" spans="1:7" s="258" customFormat="1" ht="13.5" customHeight="1">
      <c r="A24" s="954" t="s">
        <v>792</v>
      </c>
      <c r="B24" s="259" t="s">
        <v>2374</v>
      </c>
      <c r="C24" s="1384">
        <f ca="1">ROUND(IF('数据-取费表'!B22&lt;=1,C19*F22*('数据-取费表'!B19/2+'数据-取费表'!B20),C19*(POWER((1+F22),('数据-取费表'!B19/2+'数据-取费表'!B20))-1)),0)</f>
        <v>0</v>
      </c>
      <c r="D24" s="282"/>
      <c r="E24" s="282"/>
      <c r="F24" s="283"/>
      <c r="G24" s="284" t="s">
        <v>2375</v>
      </c>
    </row>
    <row r="25" spans="1:7" s="258" customFormat="1" ht="24">
      <c r="A25" s="954" t="s">
        <v>793</v>
      </c>
      <c r="B25" s="259" t="s">
        <v>2377</v>
      </c>
      <c r="C25" s="1384" t="e">
        <f ca="1">ROUND(IF('数据-取费表'!B22&lt;=1,C20*F22*'数据-取费表'!B22/2,C20*(POWER((1+F22),'数据-取费表'!B22/2)-1)),0)</f>
        <v>#N/A</v>
      </c>
      <c r="D25" s="282"/>
      <c r="E25" s="285"/>
      <c r="F25" s="283"/>
      <c r="G25" s="286" t="s">
        <v>2378</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t="e">
        <f ca="1">C28</f>
        <v>#N/A</v>
      </c>
      <c r="D27" s="279" t="e">
        <f ca="1">C29</f>
        <v>#N/A</v>
      </c>
      <c r="E27" s="280" t="s">
        <v>2366</v>
      </c>
      <c r="F27" s="290" t="e">
        <f ca="1">IF(B1="",'数据-取费表'!Q16,INDIRECT("'数据-取费表'!q"&amp;$G$1))</f>
        <v>#N/A</v>
      </c>
      <c r="G27" s="291" t="s">
        <v>2383</v>
      </c>
    </row>
    <row r="28" spans="1:7" s="258" customFormat="1" ht="13.5" customHeight="1">
      <c r="A28" s="954" t="s">
        <v>791</v>
      </c>
      <c r="B28" s="292" t="s">
        <v>2384</v>
      </c>
      <c r="C28" s="293" t="e">
        <f ca="1">ROUND((C5+C19+C20)*F27,0)</f>
        <v>#N/A</v>
      </c>
      <c r="D28" s="279"/>
      <c r="E28" s="280"/>
      <c r="F28" s="290"/>
      <c r="G28" s="291"/>
    </row>
    <row r="29" spans="1:7" s="258" customFormat="1" ht="13.5" customHeight="1">
      <c r="A29" s="954" t="s">
        <v>792</v>
      </c>
      <c r="B29" s="292" t="s">
        <v>2385</v>
      </c>
      <c r="C29" s="282" t="e">
        <f ca="1">ROUND(C21*F27,4)</f>
        <v>#N/A</v>
      </c>
      <c r="D29" s="279"/>
      <c r="E29" s="280"/>
      <c r="F29" s="290"/>
      <c r="G29" s="291"/>
    </row>
    <row r="30" spans="1:7" s="258" customFormat="1" ht="13.5" customHeight="1">
      <c r="A30" s="299" t="s">
        <v>2386</v>
      </c>
      <c r="B30" s="254" t="s">
        <v>2387</v>
      </c>
      <c r="C30" s="279">
        <f>ROUND(F30/(1+'数据-取费表'!C42),4)</f>
        <v>5.33E-2</v>
      </c>
      <c r="D30" s="280" t="s">
        <v>2366</v>
      </c>
      <c r="E30" s="285"/>
      <c r="F30" s="281">
        <f>'数据-取费表'!B41</f>
        <v>5.6000000000000001E-2</v>
      </c>
      <c r="G30" s="278" t="s">
        <v>2388</v>
      </c>
    </row>
    <row r="31" spans="1:7" ht="16.5" customHeight="1">
      <c r="A31" s="253">
        <v>1</v>
      </c>
      <c r="B31" s="254" t="s">
        <v>2389</v>
      </c>
      <c r="C31" s="255" t="e">
        <f ca="1">ROUND((C5+C19+C20+C22+C27)/(1-C21-D22-D27-C30),0)</f>
        <v>#N/A</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t="e">
        <f ca="1">SUM(C34:C38)</f>
        <v>#N/A</v>
      </c>
      <c r="D33" s="276"/>
      <c r="E33" s="256"/>
      <c r="F33" s="285"/>
      <c r="G33" s="278"/>
    </row>
    <row r="34" spans="1:7" s="302" customFormat="1" ht="13.5" customHeight="1">
      <c r="A34" s="954" t="s">
        <v>791</v>
      </c>
      <c r="B34" s="259" t="s">
        <v>2393</v>
      </c>
      <c r="C34" s="264" t="e">
        <f ca="1">ROUND(IF(B1="",SUMPRODUCT('数据-取费表'!K6:K14,'数据-取费表'!L6:L14),INDIRECT("'数据-取费表'!l"&amp;$G$1)*INDIRECT("'数据-取费表'!k"&amp;$G$1)+'数据-取费表'!L14*INDIRECT("'数据-取费表'!S"&amp;$G$1)),0)</f>
        <v>#N/A</v>
      </c>
      <c r="D34" s="261"/>
      <c r="E34" s="264"/>
      <c r="F34" s="301"/>
      <c r="G34" s="263"/>
    </row>
    <row r="35" spans="1:7" ht="13.5" customHeight="1">
      <c r="A35" s="954" t="s">
        <v>796</v>
      </c>
      <c r="B35" s="259" t="s">
        <v>2395</v>
      </c>
      <c r="C35" s="264" t="e">
        <f ca="1">ROUND(C34*F35,0)</f>
        <v>#N/A</v>
      </c>
      <c r="D35" s="264"/>
      <c r="E35" s="264"/>
      <c r="F35" s="303">
        <f>'数据-取费表'!B33</f>
        <v>0.04</v>
      </c>
      <c r="G35" s="263" t="s">
        <v>2396</v>
      </c>
    </row>
    <row r="36" spans="1:7" ht="24">
      <c r="A36" s="954" t="s">
        <v>797</v>
      </c>
      <c r="B36" s="259" t="s">
        <v>2397</v>
      </c>
      <c r="C36" s="264" t="e">
        <f ca="1">ROUND(IF(B1="",SUM('数据-取费表'!AP6:AP13)*F36,IF(INDIRECT("'数据-取费表'!c"&amp;$G$1)="住宅",INDIRECT("'数据-取费表'!k"&amp;$G$1)*INDIRECT("'数据-取费表'!l"&amp;$G$1)*F36,0)),0)</f>
        <v>#N/A</v>
      </c>
      <c r="D36" s="264"/>
      <c r="E36" s="264"/>
      <c r="F36" s="303">
        <f>'数据-取费表'!B34</f>
        <v>0</v>
      </c>
      <c r="G36" s="304" t="s">
        <v>2398</v>
      </c>
    </row>
    <row r="37" spans="1:7" s="302" customFormat="1" ht="13.5" customHeight="1">
      <c r="A37" s="954" t="s">
        <v>798</v>
      </c>
      <c r="B37" s="259" t="s">
        <v>2399</v>
      </c>
      <c r="C37" s="293" t="e">
        <f ca="1">ROUND(E37*D37,0)</f>
        <v>#N/A</v>
      </c>
      <c r="D37" s="261" t="e">
        <f ca="1">D19</f>
        <v>#N/A</v>
      </c>
      <c r="E37" s="293">
        <f>'数据-取费表'!B35</f>
        <v>200</v>
      </c>
      <c r="F37" s="303"/>
      <c r="G37" s="305"/>
    </row>
    <row r="38" spans="1:7" ht="13.5" customHeight="1">
      <c r="A38" s="954" t="s">
        <v>799</v>
      </c>
      <c r="B38" s="259" t="s">
        <v>2401</v>
      </c>
      <c r="C38" s="264" t="e">
        <f ca="1">ROUND(C34*F38,0)</f>
        <v>#N/A</v>
      </c>
      <c r="D38" s="264"/>
      <c r="E38" s="264"/>
      <c r="F38" s="303">
        <f>'数据-取费表'!B36</f>
        <v>1.4999999999999999E-2</v>
      </c>
      <c r="G38" s="263" t="s">
        <v>2396</v>
      </c>
    </row>
    <row r="39" spans="1:7" s="258" customFormat="1" ht="13.5" customHeight="1">
      <c r="A39" s="299" t="s">
        <v>2359</v>
      </c>
      <c r="B39" s="254" t="s">
        <v>2362</v>
      </c>
      <c r="C39" s="276" t="e">
        <f ca="1">ROUND(C33*F20,0)</f>
        <v>#N/A</v>
      </c>
      <c r="D39" s="276"/>
      <c r="E39" s="276"/>
      <c r="F39" s="277"/>
      <c r="G39" s="278" t="s">
        <v>2404</v>
      </c>
    </row>
    <row r="40" spans="1:7" s="258" customFormat="1" ht="13.5" customHeight="1">
      <c r="A40" s="299" t="s">
        <v>2361</v>
      </c>
      <c r="B40" s="254" t="s">
        <v>2365</v>
      </c>
      <c r="C40" s="1731">
        <f>F21</f>
        <v>0.02</v>
      </c>
      <c r="D40" s="280" t="s">
        <v>2407</v>
      </c>
      <c r="E40" s="276"/>
      <c r="F40" s="277"/>
      <c r="G40" s="278" t="s">
        <v>2408</v>
      </c>
    </row>
    <row r="41" spans="1:7" s="258" customFormat="1" ht="13.5" customHeight="1">
      <c r="A41" s="299" t="s">
        <v>2364</v>
      </c>
      <c r="B41" s="254" t="s">
        <v>2369</v>
      </c>
      <c r="C41" s="276" t="e">
        <f ca="1">ROUND(SUM(C42:C43),0)</f>
        <v>#N/A</v>
      </c>
      <c r="D41" s="279">
        <f ca="1">C44</f>
        <v>4.0000000000000002E-4</v>
      </c>
      <c r="E41" s="280" t="s">
        <v>2407</v>
      </c>
      <c r="F41" s="281"/>
      <c r="G41" s="278" t="str">
        <f>IF('数据-取费表'!B22&lt;=1,"单利计息","复利计息")</f>
        <v>单利计息</v>
      </c>
    </row>
    <row r="42" spans="1:7" ht="13.5" customHeight="1">
      <c r="A42" s="954" t="s">
        <v>791</v>
      </c>
      <c r="B42" s="259" t="s">
        <v>2371</v>
      </c>
      <c r="C42" s="282" t="e">
        <f ca="1">ROUND(IF('数据-取费表'!B22&lt;=1,C33*F22*'数据-取费表'!B20/2,C33*(POWER((1+F22),'数据-取费表'!B20/2)-1)),0)</f>
        <v>#N/A</v>
      </c>
      <c r="D42" s="282"/>
      <c r="E42" s="282"/>
      <c r="F42" s="283"/>
      <c r="G42" s="3176" t="s">
        <v>2459</v>
      </c>
    </row>
    <row r="43" spans="1:7" ht="13.5" customHeight="1">
      <c r="A43" s="954" t="s">
        <v>792</v>
      </c>
      <c r="B43" s="259" t="s">
        <v>2374</v>
      </c>
      <c r="C43" s="282" t="e">
        <f ca="1">ROUND(IF('数据-取费表'!B22&lt;=1,C39*F22*'数据-取费表'!B20/2,C39*(POWER((1+F22),'数据-取费表'!B20/2)-1)),0)</f>
        <v>#N/A</v>
      </c>
      <c r="D43" s="282"/>
      <c r="E43" s="282"/>
      <c r="F43" s="283"/>
      <c r="G43" s="3177"/>
    </row>
    <row r="44" spans="1:7" ht="13.5" customHeight="1">
      <c r="A44" s="954" t="s">
        <v>793</v>
      </c>
      <c r="B44" s="259" t="s">
        <v>2377</v>
      </c>
      <c r="C44" s="282">
        <f ca="1">ROUND(IF('数据-取费表'!B22&lt;=1,C40*F22*'数据-取费表'!B20/2,C40*(POWER((1+F22),'数据-取费表'!B20/2)-1)),4)</f>
        <v>4.0000000000000002E-4</v>
      </c>
      <c r="D44" s="282"/>
      <c r="E44" s="282"/>
      <c r="F44" s="283"/>
      <c r="G44" s="3178"/>
    </row>
    <row r="45" spans="1:7" s="258" customFormat="1" ht="13.5" customHeight="1">
      <c r="A45" s="299" t="s">
        <v>2368</v>
      </c>
      <c r="B45" s="288" t="s">
        <v>2381</v>
      </c>
      <c r="C45" s="289" t="e">
        <f ca="1">C46</f>
        <v>#N/A</v>
      </c>
      <c r="D45" s="279" t="e">
        <f ca="1">C47</f>
        <v>#N/A</v>
      </c>
      <c r="E45" s="280" t="s">
        <v>2407</v>
      </c>
      <c r="F45" s="290"/>
      <c r="G45" s="291" t="s">
        <v>2416</v>
      </c>
    </row>
    <row r="46" spans="1:7" s="258" customFormat="1" ht="13.5" customHeight="1">
      <c r="A46" s="954" t="s">
        <v>791</v>
      </c>
      <c r="B46" s="292" t="s">
        <v>2417</v>
      </c>
      <c r="C46" s="293" t="e">
        <f ca="1">ROUND((C33+C39)*F27,0)</f>
        <v>#N/A</v>
      </c>
      <c r="D46" s="307"/>
      <c r="E46" s="280"/>
      <c r="F46" s="290"/>
      <c r="G46" s="291"/>
    </row>
    <row r="47" spans="1:7" s="258" customFormat="1" ht="13.5" customHeight="1">
      <c r="A47" s="954" t="s">
        <v>792</v>
      </c>
      <c r="B47" s="292" t="s">
        <v>2418</v>
      </c>
      <c r="C47" s="282" t="e">
        <f ca="1">ROUND(C40*F27,4)</f>
        <v>#N/A</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t="e">
        <f ca="1">ROUND((C33+C39+C41+C45)/(1-C40-D41-D45-C48),0)</f>
        <v>#N/A</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t="e">
        <f ca="1">ROUND(C49*F50,0)</f>
        <v>#N/A</v>
      </c>
      <c r="D51" s="276"/>
      <c r="E51" s="276"/>
      <c r="F51" s="308"/>
      <c r="G51" s="278" t="s">
        <v>2428</v>
      </c>
    </row>
    <row r="52" spans="1:7" s="252" customFormat="1" ht="16.5" thickBot="1">
      <c r="A52" s="309" t="s">
        <v>2429</v>
      </c>
      <c r="B52" s="310"/>
      <c r="C52" s="311" t="e">
        <f ca="1">C31+C51</f>
        <v>#N/A</v>
      </c>
      <c r="D52" s="310"/>
      <c r="E52" s="310"/>
      <c r="F52" s="310"/>
      <c r="G52" s="312"/>
    </row>
    <row r="55" spans="1:7" ht="15">
      <c r="B55" s="314" t="s">
        <v>2430</v>
      </c>
      <c r="C55" s="315"/>
    </row>
    <row r="56" spans="1:7">
      <c r="B56" s="317" t="s">
        <v>1512</v>
      </c>
      <c r="C56" s="319" t="e">
        <f ca="1">1-C57</f>
        <v>#N/A</v>
      </c>
    </row>
    <row r="57" spans="1:7">
      <c r="B57" s="317" t="s">
        <v>1513</v>
      </c>
      <c r="C57" s="318" t="e">
        <f ca="1">ROUND(C51/C52,3)</f>
        <v>#N/A</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2330</v>
      </c>
      <c r="B2" s="2571" t="e">
        <f ca="1">SUMIF(B6:B13,"&lt;&gt;#ref!",B6:B13)</f>
        <v>#N/A</v>
      </c>
      <c r="C2" s="2572" t="s">
        <v>2522</v>
      </c>
      <c r="D2" s="2573" t="s">
        <v>2523</v>
      </c>
      <c r="E2" s="2574">
        <f>SUM(E6:E13)</f>
        <v>3096.45</v>
      </c>
    </row>
    <row r="3" spans="1:6" ht="15.75">
      <c r="A3" s="2570" t="s">
        <v>1394</v>
      </c>
      <c r="B3" s="2571" t="e">
        <f ca="1">ROUND(B2*10000/E2,0)</f>
        <v>#N/A</v>
      </c>
      <c r="C3" s="2572" t="s">
        <v>2530</v>
      </c>
      <c r="D3" s="2575"/>
      <c r="E3" s="2576"/>
    </row>
    <row r="4" spans="1:6" ht="15.75">
      <c r="A4" s="2577"/>
      <c r="B4" s="2575"/>
      <c r="C4" s="2575"/>
      <c r="D4" s="2575"/>
      <c r="E4" s="2576"/>
    </row>
    <row r="5" spans="1:6" ht="15">
      <c r="A5" s="2578" t="s">
        <v>2524</v>
      </c>
      <c r="B5" s="3188" t="s">
        <v>2525</v>
      </c>
      <c r="C5" s="3188"/>
      <c r="D5" s="2579"/>
      <c r="E5" s="2580" t="s">
        <v>2526</v>
      </c>
      <c r="F5" s="2581" t="s">
        <v>2527</v>
      </c>
    </row>
    <row r="6" spans="1:6">
      <c r="A6" s="2582" t="str">
        <f>'数据-取费表'!AN6</f>
        <v>收益法 (元)</v>
      </c>
      <c r="B6" s="2581">
        <f ca="1">IF(F6="是",'数据-取费表'!AO6,0)</f>
        <v>4651</v>
      </c>
      <c r="C6" s="2572" t="s">
        <v>2522</v>
      </c>
      <c r="D6" s="2575"/>
      <c r="E6" s="2583">
        <f>IF(OR(A6=0,F6="否"),0,'数据-取费表'!K6+'数据-取费表'!S6)</f>
        <v>3096.45</v>
      </c>
      <c r="F6" s="2584" t="s">
        <v>2528</v>
      </c>
    </row>
    <row r="7" spans="1:6">
      <c r="A7" s="2582">
        <f>'数据-取费表'!AN7</f>
        <v>0</v>
      </c>
      <c r="B7" s="2581" t="e">
        <f ca="1">IF(F7="是",'数据-取费表'!AO7,0)</f>
        <v>#REF!</v>
      </c>
      <c r="C7" s="2572" t="s">
        <v>2522</v>
      </c>
      <c r="D7" s="2575"/>
      <c r="E7" s="2583">
        <f>IF(OR(A7=0,F7="否"),0,'数据-取费表'!K7+'数据-取费表'!S7)</f>
        <v>0</v>
      </c>
      <c r="F7" s="2584" t="s">
        <v>2528</v>
      </c>
    </row>
    <row r="8" spans="1:6">
      <c r="A8" s="2582">
        <f>'数据-取费表'!AN8</f>
        <v>0</v>
      </c>
      <c r="B8" s="2581" t="e">
        <f ca="1">IF(F8="是",'数据-取费表'!AO8,0)</f>
        <v>#REF!</v>
      </c>
      <c r="C8" s="2572" t="s">
        <v>2522</v>
      </c>
      <c r="D8" s="2575"/>
      <c r="E8" s="2583">
        <f>IF(OR(A8=0,F8="否"),0,'数据-取费表'!K8+'数据-取费表'!S8)</f>
        <v>0</v>
      </c>
      <c r="F8" s="2584" t="s">
        <v>2528</v>
      </c>
    </row>
    <row r="9" spans="1:6">
      <c r="A9" s="2582" t="str">
        <f>'数据-取费表'!AN9</f>
        <v>收益法 (地下)</v>
      </c>
      <c r="B9" s="2581" t="e">
        <f ca="1">IF(F9="是",'数据-取费表'!AO9,0)</f>
        <v>#N/A</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5" t="s">
        <v>1076</v>
      </c>
      <c r="B1" s="3206"/>
      <c r="C1" s="3207"/>
      <c r="D1" s="3208">
        <f>SUM(I10,I15,I20,I21,I23)</f>
        <v>0</v>
      </c>
      <c r="E1" s="3208"/>
      <c r="F1" s="3208"/>
      <c r="G1" s="3208"/>
      <c r="H1" s="3208"/>
      <c r="I1" s="3209"/>
    </row>
    <row r="2" spans="1:9">
      <c r="A2" s="3195" t="s">
        <v>1077</v>
      </c>
      <c r="B2" s="3196" t="s">
        <v>1078</v>
      </c>
      <c r="C2" s="3196"/>
      <c r="D2" s="1304" t="s">
        <v>1079</v>
      </c>
      <c r="E2" s="1304" t="s">
        <v>1080</v>
      </c>
      <c r="F2" s="1304" t="s">
        <v>1081</v>
      </c>
      <c r="G2" s="1304" t="s">
        <v>1082</v>
      </c>
      <c r="H2" s="1304" t="s">
        <v>1083</v>
      </c>
      <c r="I2" s="1305" t="s">
        <v>1084</v>
      </c>
    </row>
    <row r="3" spans="1:9">
      <c r="A3" s="3195"/>
      <c r="B3" s="3196" t="s">
        <v>1085</v>
      </c>
      <c r="C3" s="3196"/>
      <c r="D3" s="1306"/>
      <c r="E3" s="1304"/>
      <c r="F3" s="1307"/>
      <c r="G3" s="1307"/>
      <c r="H3" s="1308"/>
      <c r="I3" s="1309">
        <f>ROUND(D3*E3*F3*G3*H3/10000,0)</f>
        <v>0</v>
      </c>
    </row>
    <row r="4" spans="1:9">
      <c r="A4" s="3195"/>
      <c r="B4" s="3196" t="s">
        <v>1086</v>
      </c>
      <c r="C4" s="3196"/>
      <c r="D4" s="1306"/>
      <c r="E4" s="1304"/>
      <c r="F4" s="1307"/>
      <c r="G4" s="1307"/>
      <c r="H4" s="1308"/>
      <c r="I4" s="1309">
        <f t="shared" ref="I4:I9" si="0">ROUND(D4*E4*F4*G4*H4/10000,0)</f>
        <v>0</v>
      </c>
    </row>
    <row r="5" spans="1:9">
      <c r="A5" s="3195"/>
      <c r="B5" s="3196" t="s">
        <v>1087</v>
      </c>
      <c r="C5" s="3196"/>
      <c r="D5" s="1306"/>
      <c r="E5" s="1304"/>
      <c r="F5" s="1307"/>
      <c r="G5" s="1307"/>
      <c r="H5" s="1308"/>
      <c r="I5" s="1309">
        <f t="shared" si="0"/>
        <v>0</v>
      </c>
    </row>
    <row r="6" spans="1:9">
      <c r="A6" s="3195"/>
      <c r="B6" s="3196" t="s">
        <v>1088</v>
      </c>
      <c r="C6" s="3196"/>
      <c r="D6" s="1306"/>
      <c r="E6" s="1304"/>
      <c r="F6" s="1307"/>
      <c r="G6" s="1307"/>
      <c r="H6" s="1308"/>
      <c r="I6" s="1309">
        <f t="shared" si="0"/>
        <v>0</v>
      </c>
    </row>
    <row r="7" spans="1:9">
      <c r="A7" s="3195"/>
      <c r="B7" s="3196" t="s">
        <v>1089</v>
      </c>
      <c r="C7" s="3196"/>
      <c r="D7" s="1306"/>
      <c r="E7" s="1304"/>
      <c r="F7" s="1307"/>
      <c r="G7" s="1307"/>
      <c r="H7" s="1308"/>
      <c r="I7" s="1309">
        <f t="shared" si="0"/>
        <v>0</v>
      </c>
    </row>
    <row r="8" spans="1:9">
      <c r="A8" s="3195"/>
      <c r="B8" s="3196" t="s">
        <v>1090</v>
      </c>
      <c r="C8" s="3196"/>
      <c r="D8" s="1306"/>
      <c r="E8" s="1304"/>
      <c r="F8" s="1307"/>
      <c r="G8" s="1307"/>
      <c r="H8" s="1308"/>
      <c r="I8" s="1309">
        <f t="shared" si="0"/>
        <v>0</v>
      </c>
    </row>
    <row r="9" spans="1:9">
      <c r="A9" s="3195"/>
      <c r="B9" s="3196" t="s">
        <v>1091</v>
      </c>
      <c r="C9" s="3196"/>
      <c r="D9" s="1306"/>
      <c r="E9" s="1304"/>
      <c r="F9" s="1307"/>
      <c r="G9" s="1307"/>
      <c r="H9" s="1308"/>
      <c r="I9" s="1309">
        <f t="shared" si="0"/>
        <v>0</v>
      </c>
    </row>
    <row r="10" spans="1:9">
      <c r="A10" s="3195"/>
      <c r="B10" s="3197" t="s">
        <v>1092</v>
      </c>
      <c r="C10" s="3197"/>
      <c r="D10" s="1310"/>
      <c r="E10" s="1310" t="e">
        <f>ROUND(D1*10000/D10/H9,0)</f>
        <v>#DIV/0!</v>
      </c>
      <c r="F10" s="1311"/>
      <c r="G10" s="1311"/>
      <c r="H10" s="1312"/>
      <c r="I10" s="1313">
        <f>SUM(I3:I9)</f>
        <v>0</v>
      </c>
    </row>
    <row r="11" spans="1:9" ht="14.25">
      <c r="A11" s="3195" t="s">
        <v>1093</v>
      </c>
      <c r="B11" s="3196" t="s">
        <v>1094</v>
      </c>
      <c r="C11" s="3196"/>
      <c r="D11" s="1306" t="s">
        <v>1095</v>
      </c>
      <c r="E11" s="1306" t="s">
        <v>1096</v>
      </c>
      <c r="F11" s="1307" t="s">
        <v>1097</v>
      </c>
      <c r="G11" s="1307" t="s">
        <v>1083</v>
      </c>
      <c r="H11" s="1314" t="s">
        <v>1098</v>
      </c>
      <c r="I11" s="1305" t="s">
        <v>1084</v>
      </c>
    </row>
    <row r="12" spans="1:9">
      <c r="A12" s="3195"/>
      <c r="B12" s="3196" t="s">
        <v>1099</v>
      </c>
      <c r="C12" s="3196"/>
      <c r="D12" s="1306"/>
      <c r="E12" s="1306"/>
      <c r="F12" s="1307"/>
      <c r="G12" s="1308"/>
      <c r="H12" s="1315"/>
      <c r="I12" s="1305">
        <f>ROUND(D12*E12*F12*G12/10000,0)</f>
        <v>0</v>
      </c>
    </row>
    <row r="13" spans="1:9">
      <c r="A13" s="3195"/>
      <c r="B13" s="3196" t="s">
        <v>1100</v>
      </c>
      <c r="C13" s="3196"/>
      <c r="D13" s="1306"/>
      <c r="E13" s="1306"/>
      <c r="F13" s="1307"/>
      <c r="G13" s="1308"/>
      <c r="H13" s="1315"/>
      <c r="I13" s="1305">
        <f>ROUND(D13*E13*F13*G13/10000,0)</f>
        <v>0</v>
      </c>
    </row>
    <row r="14" spans="1:9">
      <c r="A14" s="3195"/>
      <c r="B14" s="3196" t="s">
        <v>1101</v>
      </c>
      <c r="C14" s="3196"/>
      <c r="D14" s="1306"/>
      <c r="E14" s="1306"/>
      <c r="F14" s="1307"/>
      <c r="G14" s="1308"/>
      <c r="H14" s="1315"/>
      <c r="I14" s="1305">
        <f>ROUND(D14*E14*F14*G14/10000,0)</f>
        <v>0</v>
      </c>
    </row>
    <row r="15" spans="1:9">
      <c r="A15" s="3195"/>
      <c r="B15" s="3197" t="s">
        <v>1092</v>
      </c>
      <c r="C15" s="3197"/>
      <c r="D15" s="1310"/>
      <c r="E15" s="1310">
        <f>SUM(E12:E14)</f>
        <v>0</v>
      </c>
      <c r="F15" s="1311"/>
      <c r="G15" s="1308"/>
      <c r="H15" s="1315"/>
      <c r="I15" s="1316">
        <f>SUM(I12:I14)</f>
        <v>0</v>
      </c>
    </row>
    <row r="16" spans="1:9" ht="24">
      <c r="A16" s="3195" t="s">
        <v>1102</v>
      </c>
      <c r="B16" s="3196" t="s">
        <v>1103</v>
      </c>
      <c r="C16" s="3196"/>
      <c r="D16" s="1306" t="s">
        <v>1079</v>
      </c>
      <c r="E16" s="1317" t="s">
        <v>1104</v>
      </c>
      <c r="F16" s="1307" t="s">
        <v>1105</v>
      </c>
      <c r="G16" s="1308" t="s">
        <v>1083</v>
      </c>
      <c r="H16" s="1314" t="s">
        <v>1098</v>
      </c>
      <c r="I16" s="1305" t="s">
        <v>1084</v>
      </c>
    </row>
    <row r="17" spans="1:9" ht="14.25">
      <c r="A17" s="3195"/>
      <c r="B17" s="3196" t="s">
        <v>1106</v>
      </c>
      <c r="C17" s="3196"/>
      <c r="D17" s="1306"/>
      <c r="E17" s="1306"/>
      <c r="F17" s="1307"/>
      <c r="G17" s="1308"/>
      <c r="H17" s="1318"/>
      <c r="I17" s="1319">
        <f>ROUND(D17*E17*F17*G17/10000,0)</f>
        <v>0</v>
      </c>
    </row>
    <row r="18" spans="1:9" ht="14.25">
      <c r="A18" s="3195"/>
      <c r="B18" s="3196" t="s">
        <v>1107</v>
      </c>
      <c r="C18" s="3196"/>
      <c r="D18" s="1306"/>
      <c r="E18" s="1306"/>
      <c r="F18" s="1307"/>
      <c r="G18" s="1308"/>
      <c r="H18" s="1318"/>
      <c r="I18" s="1319">
        <f>ROUND(D18*E18*F18*G18/10000,0)</f>
        <v>0</v>
      </c>
    </row>
    <row r="19" spans="1:9" ht="14.25">
      <c r="A19" s="3195"/>
      <c r="B19" s="3196" t="s">
        <v>1108</v>
      </c>
      <c r="C19" s="3196"/>
      <c r="D19" s="1306"/>
      <c r="E19" s="1306"/>
      <c r="F19" s="1307"/>
      <c r="G19" s="1308"/>
      <c r="H19" s="1318"/>
      <c r="I19" s="1319">
        <f>ROUND(D19*E19*F19*G19/10000,0)</f>
        <v>0</v>
      </c>
    </row>
    <row r="20" spans="1:9">
      <c r="A20" s="3195"/>
      <c r="B20" s="3197" t="s">
        <v>1092</v>
      </c>
      <c r="C20" s="3197"/>
      <c r="D20" s="1310">
        <f>SUM(D17:D19)</f>
        <v>0</v>
      </c>
      <c r="E20" s="1310"/>
      <c r="F20" s="1311"/>
      <c r="G20" s="1308"/>
      <c r="H20" s="1315"/>
      <c r="I20" s="1316">
        <f>SUM(I17:I19)</f>
        <v>0</v>
      </c>
    </row>
    <row r="21" spans="1:9">
      <c r="A21" s="3195" t="s">
        <v>1109</v>
      </c>
      <c r="B21" s="3198"/>
      <c r="C21" s="3198"/>
      <c r="D21" s="3198"/>
      <c r="E21" s="3198"/>
      <c r="F21" s="3198"/>
      <c r="G21" s="3198"/>
      <c r="H21" s="1768">
        <v>0.1</v>
      </c>
      <c r="I21" s="1313">
        <f>ROUND(I10*H21,0)</f>
        <v>0</v>
      </c>
    </row>
    <row r="22" spans="1:9" ht="14.25">
      <c r="A22" s="3199" t="s">
        <v>1110</v>
      </c>
      <c r="B22" s="3200"/>
      <c r="C22" s="3201"/>
      <c r="D22" s="1320" t="s">
        <v>1111</v>
      </c>
      <c r="E22" s="1320" t="s">
        <v>1112</v>
      </c>
      <c r="F22" s="1321" t="s">
        <v>1113</v>
      </c>
      <c r="G22" s="1321" t="s">
        <v>1114</v>
      </c>
      <c r="H22" s="1314" t="s">
        <v>1115</v>
      </c>
      <c r="I22" s="1305" t="s">
        <v>1116</v>
      </c>
    </row>
    <row r="23" spans="1:9" ht="14.25" thickBot="1">
      <c r="A23" s="3202"/>
      <c r="B23" s="3203"/>
      <c r="C23" s="3204"/>
      <c r="D23" s="1322"/>
      <c r="E23" s="1322"/>
      <c r="F23" s="1322"/>
      <c r="G23" s="1323"/>
      <c r="H23" s="1324"/>
      <c r="I23" s="1325">
        <f>ROUND(E23*D23*F23*(1-G23)/10000,0)</f>
        <v>0</v>
      </c>
    </row>
    <row r="26" spans="1:9">
      <c r="A26" s="1326" t="s">
        <v>1117</v>
      </c>
      <c r="B26" s="1326"/>
      <c r="C26" s="1326"/>
      <c r="D26" s="1326"/>
      <c r="E26" s="3192">
        <f>C27-C30-C31-C32</f>
        <v>0</v>
      </c>
      <c r="F26" s="3192"/>
      <c r="G26" s="3192"/>
      <c r="H26" s="1740" t="s">
        <v>1339</v>
      </c>
    </row>
    <row r="27" spans="1:9">
      <c r="A27" s="1327">
        <v>1</v>
      </c>
      <c r="B27" s="1328" t="s">
        <v>1118</v>
      </c>
      <c r="C27" s="1328">
        <f>C28+C29</f>
        <v>0</v>
      </c>
      <c r="D27" s="1328"/>
      <c r="E27" s="3193"/>
      <c r="F27" s="3193"/>
      <c r="G27" s="3193"/>
    </row>
    <row r="28" spans="1:9">
      <c r="A28" s="1329" t="s">
        <v>1119</v>
      </c>
      <c r="B28" s="1328" t="s">
        <v>1120</v>
      </c>
      <c r="C28" s="1328"/>
      <c r="D28" s="1328"/>
      <c r="E28" s="3193"/>
      <c r="F28" s="3193"/>
      <c r="G28" s="319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94"/>
      <c r="F32" s="3194"/>
      <c r="G32" s="3194"/>
    </row>
    <row r="33" spans="1:7" hidden="1">
      <c r="A33" s="3189" t="s">
        <v>1129</v>
      </c>
      <c r="B33" s="3190"/>
      <c r="C33" s="3190"/>
      <c r="D33" s="3191"/>
      <c r="E33" s="3192"/>
      <c r="F33" s="3192"/>
      <c r="G33" s="3192"/>
    </row>
    <row r="34" spans="1:7" hidden="1">
      <c r="A34" s="1331">
        <v>1</v>
      </c>
      <c r="B34" s="1328" t="s">
        <v>1130</v>
      </c>
      <c r="C34" s="1328"/>
      <c r="D34" s="1328"/>
      <c r="E34" s="3193"/>
      <c r="F34" s="3193"/>
      <c r="G34" s="3193"/>
    </row>
    <row r="35" spans="1:7" hidden="1">
      <c r="A35" s="1331">
        <v>2</v>
      </c>
      <c r="B35" s="1328" t="s">
        <v>1131</v>
      </c>
      <c r="C35" s="1328"/>
      <c r="D35" s="1328"/>
      <c r="E35" s="3193"/>
      <c r="F35" s="3193"/>
      <c r="G35" s="3193"/>
    </row>
    <row r="36" spans="1:7" hidden="1">
      <c r="A36" s="1331">
        <v>3</v>
      </c>
      <c r="B36" s="1328" t="s">
        <v>1132</v>
      </c>
      <c r="C36" s="1328"/>
      <c r="D36" s="1328"/>
      <c r="E36" s="3193"/>
      <c r="F36" s="3193"/>
      <c r="G36" s="3193"/>
    </row>
    <row r="37" spans="1:7" hidden="1">
      <c r="A37" s="1331">
        <v>4</v>
      </c>
      <c r="B37" s="1328" t="s">
        <v>1133</v>
      </c>
      <c r="C37" s="1328"/>
      <c r="D37" s="1328"/>
      <c r="E37" s="3193"/>
      <c r="F37" s="3193"/>
      <c r="G37" s="3193"/>
    </row>
    <row r="38" spans="1:7" hidden="1">
      <c r="A38" s="3189" t="s">
        <v>1134</v>
      </c>
      <c r="B38" s="3190"/>
      <c r="C38" s="3190"/>
      <c r="D38" s="3191"/>
      <c r="E38" s="3192"/>
      <c r="F38" s="3192"/>
      <c r="G38" s="31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1393</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1394</v>
      </c>
      <c r="B3" s="399" t="e">
        <f ca="1">IF(C2="——",C49,ROUND(B2*10000/D3,0))</f>
        <v>#DIV/0!</v>
      </c>
      <c r="C3" s="400" t="s">
        <v>2537</v>
      </c>
      <c r="D3" s="399">
        <f>IF(D1="",'数据-汇总表'!E3,SUMIF('数据-汇总表'!$C19:$C33,D1,'数据-汇总表'!$E19:$E33))</f>
        <v>3096.45</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228" t="s">
        <v>2539</v>
      </c>
      <c r="D4" s="3229"/>
      <c r="E4" s="3230" t="s">
        <v>2540</v>
      </c>
      <c r="F4" s="3231"/>
      <c r="G4" s="3228" t="s">
        <v>2541</v>
      </c>
      <c r="H4" s="3229"/>
      <c r="I4" s="3228" t="s">
        <v>2542</v>
      </c>
      <c r="J4" s="3229"/>
      <c r="K4" s="2602" t="s">
        <v>2543</v>
      </c>
      <c r="L4" s="1133"/>
      <c r="M4" s="1134"/>
      <c r="N4" s="1134"/>
      <c r="O4" s="1134"/>
      <c r="P4" s="3232" t="s">
        <v>2544</v>
      </c>
      <c r="Q4" s="3233"/>
      <c r="R4" s="3238" t="s">
        <v>2540</v>
      </c>
      <c r="S4" s="3239"/>
      <c r="T4" s="3238" t="s">
        <v>2541</v>
      </c>
      <c r="U4" s="3239"/>
      <c r="V4" s="3244" t="s">
        <v>2542</v>
      </c>
      <c r="W4" s="3244"/>
      <c r="X4" s="1816"/>
      <c r="Y4" s="3238" t="s">
        <v>2544</v>
      </c>
      <c r="Z4" s="3239"/>
      <c r="AA4" s="3225" t="s">
        <v>2540</v>
      </c>
      <c r="AB4" s="3225" t="s">
        <v>2541</v>
      </c>
      <c r="AC4" s="3225" t="s">
        <v>2542</v>
      </c>
    </row>
    <row r="5" spans="1:29" ht="15">
      <c r="A5" s="404"/>
      <c r="B5" s="405"/>
      <c r="C5" s="3247" t="s">
        <v>2545</v>
      </c>
      <c r="D5" s="3248"/>
      <c r="E5" s="3254" t="s">
        <v>2546</v>
      </c>
      <c r="F5" s="3255"/>
      <c r="G5" s="3247" t="s">
        <v>2547</v>
      </c>
      <c r="H5" s="3248"/>
      <c r="I5" s="3247" t="s">
        <v>2548</v>
      </c>
      <c r="J5" s="3248"/>
      <c r="K5" s="2603"/>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2603"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49" t="s">
        <v>2552</v>
      </c>
      <c r="Q7" s="3251"/>
      <c r="R7" s="770" t="s">
        <v>23</v>
      </c>
      <c r="S7" s="771">
        <f t="shared" ref="S7:S15" si="0">F7</f>
        <v>0</v>
      </c>
      <c r="T7" s="770" t="s">
        <v>23</v>
      </c>
      <c r="U7" s="771">
        <f t="shared" ref="U7:U15" si="1">H7</f>
        <v>0</v>
      </c>
      <c r="V7" s="770" t="s">
        <v>23</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49" t="s">
        <v>2555</v>
      </c>
      <c r="Q8" s="3250"/>
      <c r="R8" s="770" t="s">
        <v>23</v>
      </c>
      <c r="S8" s="771">
        <f t="shared" si="0"/>
        <v>0</v>
      </c>
      <c r="T8" s="770" t="s">
        <v>23</v>
      </c>
      <c r="U8" s="771">
        <f t="shared" si="1"/>
        <v>0</v>
      </c>
      <c r="V8" s="770" t="s">
        <v>23</v>
      </c>
      <c r="W8" s="771">
        <f t="shared" si="2"/>
        <v>0</v>
      </c>
      <c r="X8" s="772"/>
      <c r="Y8" s="3249" t="s">
        <v>2555</v>
      </c>
      <c r="Z8" s="3250"/>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24"/>
      <c r="Q11" s="1798" t="str">
        <f t="shared" si="6"/>
        <v>容积率</v>
      </c>
      <c r="R11" s="770" t="s">
        <v>21</v>
      </c>
      <c r="S11" s="771" t="e">
        <f t="shared" si="0"/>
        <v>#N/A</v>
      </c>
      <c r="T11" s="770" t="s">
        <v>21</v>
      </c>
      <c r="U11" s="771" t="e">
        <f t="shared" si="1"/>
        <v>#N/A</v>
      </c>
      <c r="V11" s="770" t="s">
        <v>21</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24"/>
      <c r="Q12" s="1798">
        <f t="shared" si="6"/>
        <v>111</v>
      </c>
      <c r="R12" s="770" t="s">
        <v>21</v>
      </c>
      <c r="S12" s="771">
        <f t="shared" si="0"/>
        <v>100</v>
      </c>
      <c r="T12" s="770" t="s">
        <v>21</v>
      </c>
      <c r="U12" s="771">
        <f t="shared" si="1"/>
        <v>100</v>
      </c>
      <c r="V12" s="770" t="s">
        <v>21</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24"/>
      <c r="Q13" s="1798">
        <f t="shared" si="6"/>
        <v>111</v>
      </c>
      <c r="R13" s="770" t="s">
        <v>21</v>
      </c>
      <c r="S13" s="771">
        <f t="shared" si="0"/>
        <v>100</v>
      </c>
      <c r="T13" s="770" t="s">
        <v>21</v>
      </c>
      <c r="U13" s="771">
        <f t="shared" si="1"/>
        <v>100</v>
      </c>
      <c r="V13" s="770" t="s">
        <v>21</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24"/>
      <c r="Q14" s="1798">
        <f t="shared" si="6"/>
        <v>111</v>
      </c>
      <c r="R14" s="770" t="s">
        <v>21</v>
      </c>
      <c r="S14" s="771">
        <f t="shared" si="0"/>
        <v>100</v>
      </c>
      <c r="T14" s="770" t="s">
        <v>21</v>
      </c>
      <c r="U14" s="771">
        <f t="shared" si="1"/>
        <v>100</v>
      </c>
      <c r="V14" s="770" t="s">
        <v>21</v>
      </c>
      <c r="W14" s="771">
        <f t="shared" si="2"/>
        <v>100</v>
      </c>
      <c r="X14" s="772"/>
      <c r="Y14" s="3034"/>
      <c r="Z14" s="55">
        <f t="shared" si="7"/>
        <v>111</v>
      </c>
      <c r="AA14" s="773">
        <f t="shared" si="3"/>
        <v>1</v>
      </c>
      <c r="AB14" s="773">
        <f t="shared" si="4"/>
        <v>1</v>
      </c>
      <c r="AC14" s="773">
        <f t="shared" si="5"/>
        <v>1</v>
      </c>
    </row>
    <row r="15" spans="1:29" ht="99.75">
      <c r="A15" s="440" t="s">
        <v>2562</v>
      </c>
      <c r="B15" s="69" t="s">
        <v>2088</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2" t="s">
        <v>2563</v>
      </c>
      <c r="Q15" s="1813" t="str">
        <f t="shared" si="6"/>
        <v>居住社区成熟度</v>
      </c>
      <c r="R15" s="774" t="s">
        <v>21</v>
      </c>
      <c r="S15" s="775">
        <f t="shared" si="0"/>
        <v>100</v>
      </c>
      <c r="T15" s="774" t="s">
        <v>21</v>
      </c>
      <c r="U15" s="775">
        <f t="shared" si="1"/>
        <v>100</v>
      </c>
      <c r="V15" s="774" t="s">
        <v>21</v>
      </c>
      <c r="W15" s="775">
        <f t="shared" si="2"/>
        <v>100</v>
      </c>
      <c r="X15" s="1816"/>
      <c r="Y15" s="3215"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23"/>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3"/>
      <c r="Q17" s="1813" t="str">
        <f>B17</f>
        <v>交通便捷度</v>
      </c>
      <c r="R17" s="774" t="s">
        <v>21</v>
      </c>
      <c r="S17" s="775">
        <f>F17</f>
        <v>100</v>
      </c>
      <c r="T17" s="774" t="s">
        <v>21</v>
      </c>
      <c r="U17" s="775">
        <f>H17</f>
        <v>100</v>
      </c>
      <c r="V17" s="774" t="s">
        <v>21</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23"/>
      <c r="Q18" s="1813"/>
      <c r="R18" s="774"/>
      <c r="S18" s="775"/>
      <c r="T18" s="774"/>
      <c r="U18" s="775"/>
      <c r="V18" s="774"/>
      <c r="W18" s="775"/>
      <c r="X18" s="1816"/>
      <c r="Y18" s="3216"/>
      <c r="Z18" s="1817"/>
      <c r="AA18" s="1814">
        <v>1</v>
      </c>
      <c r="AB18" s="1814">
        <v>1</v>
      </c>
      <c r="AC18" s="1814">
        <v>1</v>
      </c>
    </row>
    <row r="19" spans="1:29" ht="42.75">
      <c r="A19" s="428"/>
      <c r="B19" s="451" t="s">
        <v>2098</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3"/>
      <c r="Q19" s="1813" t="str">
        <f>B19</f>
        <v>公共配套设施</v>
      </c>
      <c r="R19" s="774" t="s">
        <v>21</v>
      </c>
      <c r="S19" s="775">
        <f>F19</f>
        <v>100</v>
      </c>
      <c r="T19" s="774" t="s">
        <v>21</v>
      </c>
      <c r="U19" s="775">
        <f>H19</f>
        <v>100</v>
      </c>
      <c r="V19" s="774" t="s">
        <v>21</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23"/>
      <c r="Q20" s="1813"/>
      <c r="R20" s="774"/>
      <c r="S20" s="775"/>
      <c r="T20" s="774"/>
      <c r="U20" s="775"/>
      <c r="V20" s="774"/>
      <c r="W20" s="775"/>
      <c r="X20" s="1816"/>
      <c r="Y20" s="3216"/>
      <c r="Z20" s="1817"/>
      <c r="AA20" s="1814">
        <v>1</v>
      </c>
      <c r="AB20" s="1814">
        <v>1</v>
      </c>
      <c r="AC20" s="1814">
        <v>1</v>
      </c>
    </row>
    <row r="21" spans="1:29" ht="28.5">
      <c r="A21" s="428"/>
      <c r="B21" s="1387" t="s">
        <v>2101</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23"/>
      <c r="Q22" s="1813"/>
      <c r="R22" s="774"/>
      <c r="S22" s="775"/>
      <c r="T22" s="774"/>
      <c r="U22" s="775"/>
      <c r="V22" s="774"/>
      <c r="W22" s="775"/>
      <c r="X22" s="1816"/>
      <c r="Y22" s="3216"/>
      <c r="Z22" s="1817"/>
      <c r="AA22" s="1814">
        <v>1</v>
      </c>
      <c r="AB22" s="1814">
        <v>1</v>
      </c>
      <c r="AC22" s="1814">
        <v>1</v>
      </c>
    </row>
    <row r="23" spans="1:29" ht="57">
      <c r="A23" s="428"/>
      <c r="B23" s="451" t="s">
        <v>2105</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3"/>
      <c r="Q23" s="1813" t="str">
        <f>B23</f>
        <v>自然及人文环境</v>
      </c>
      <c r="R23" s="774" t="s">
        <v>21</v>
      </c>
      <c r="S23" s="775">
        <f>F23</f>
        <v>100</v>
      </c>
      <c r="T23" s="774" t="s">
        <v>21</v>
      </c>
      <c r="U23" s="775">
        <f>H23</f>
        <v>100</v>
      </c>
      <c r="V23" s="774" t="s">
        <v>21</v>
      </c>
      <c r="W23" s="775">
        <f>J23</f>
        <v>100</v>
      </c>
      <c r="X23" s="1816"/>
      <c r="Y23" s="3216"/>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23"/>
      <c r="Q24" s="1813"/>
      <c r="R24" s="774"/>
      <c r="S24" s="775"/>
      <c r="T24" s="774"/>
      <c r="U24" s="775"/>
      <c r="V24" s="774"/>
      <c r="W24" s="775"/>
      <c r="X24" s="1816"/>
      <c r="Y24" s="3216"/>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2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6"/>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23"/>
      <c r="Q26" s="1813" t="str">
        <f t="shared" si="11"/>
        <v>朝向</v>
      </c>
      <c r="R26" s="774" t="s">
        <v>21</v>
      </c>
      <c r="S26" s="775">
        <f t="shared" si="12"/>
        <v>100</v>
      </c>
      <c r="T26" s="774" t="s">
        <v>21</v>
      </c>
      <c r="U26" s="775">
        <f t="shared" si="13"/>
        <v>100</v>
      </c>
      <c r="V26" s="774" t="s">
        <v>21</v>
      </c>
      <c r="W26" s="775">
        <f t="shared" si="14"/>
        <v>100</v>
      </c>
      <c r="X26" s="1816"/>
      <c r="Y26" s="321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23"/>
      <c r="Q27" s="1798">
        <f t="shared" si="11"/>
        <v>111</v>
      </c>
      <c r="R27" s="770" t="s">
        <v>21</v>
      </c>
      <c r="S27" s="771">
        <f t="shared" si="12"/>
        <v>100</v>
      </c>
      <c r="T27" s="770" t="s">
        <v>21</v>
      </c>
      <c r="U27" s="771">
        <f t="shared" si="13"/>
        <v>100</v>
      </c>
      <c r="V27" s="770" t="s">
        <v>21</v>
      </c>
      <c r="W27" s="771">
        <f t="shared" si="14"/>
        <v>100</v>
      </c>
      <c r="X27" s="772"/>
      <c r="Y27" s="321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23"/>
      <c r="Q28" s="1813">
        <f t="shared" si="11"/>
        <v>111</v>
      </c>
      <c r="R28" s="774" t="s">
        <v>21</v>
      </c>
      <c r="S28" s="775">
        <f t="shared" si="12"/>
        <v>100</v>
      </c>
      <c r="T28" s="774" t="s">
        <v>21</v>
      </c>
      <c r="U28" s="775">
        <f t="shared" si="13"/>
        <v>100</v>
      </c>
      <c r="V28" s="774" t="s">
        <v>21</v>
      </c>
      <c r="W28" s="775">
        <f t="shared" si="14"/>
        <v>100</v>
      </c>
      <c r="X28" s="1816"/>
      <c r="Y28" s="321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23"/>
      <c r="Q29" s="1813">
        <f t="shared" si="11"/>
        <v>111</v>
      </c>
      <c r="R29" s="774" t="s">
        <v>21</v>
      </c>
      <c r="S29" s="775">
        <f t="shared" si="12"/>
        <v>100</v>
      </c>
      <c r="T29" s="774" t="s">
        <v>21</v>
      </c>
      <c r="U29" s="775">
        <f t="shared" si="13"/>
        <v>100</v>
      </c>
      <c r="V29" s="774" t="s">
        <v>21</v>
      </c>
      <c r="W29" s="775">
        <f t="shared" si="14"/>
        <v>100</v>
      </c>
      <c r="X29" s="1816"/>
      <c r="Y29" s="321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23"/>
      <c r="Q30" s="1813">
        <f t="shared" si="11"/>
        <v>111</v>
      </c>
      <c r="R30" s="774" t="s">
        <v>21</v>
      </c>
      <c r="S30" s="775">
        <f t="shared" si="12"/>
        <v>100</v>
      </c>
      <c r="T30" s="774" t="s">
        <v>21</v>
      </c>
      <c r="U30" s="775">
        <f t="shared" si="13"/>
        <v>100</v>
      </c>
      <c r="V30" s="774" t="s">
        <v>21</v>
      </c>
      <c r="W30" s="775">
        <f t="shared" si="14"/>
        <v>100</v>
      </c>
      <c r="X30" s="1816"/>
      <c r="Y30" s="321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23"/>
      <c r="Q31" s="1813">
        <f t="shared" si="11"/>
        <v>111</v>
      </c>
      <c r="R31" s="774" t="s">
        <v>21</v>
      </c>
      <c r="S31" s="775">
        <f t="shared" si="12"/>
        <v>100</v>
      </c>
      <c r="T31" s="774" t="s">
        <v>21</v>
      </c>
      <c r="U31" s="775">
        <f t="shared" si="13"/>
        <v>100</v>
      </c>
      <c r="V31" s="774" t="s">
        <v>21</v>
      </c>
      <c r="W31" s="775">
        <f t="shared" si="14"/>
        <v>100</v>
      </c>
      <c r="X31" s="1816"/>
      <c r="Y31" s="3216"/>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17" t="s">
        <v>2568</v>
      </c>
      <c r="Q32" s="1813" t="str">
        <f t="shared" si="11"/>
        <v>建筑类型</v>
      </c>
      <c r="R32" s="774" t="s">
        <v>21</v>
      </c>
      <c r="S32" s="775">
        <f t="shared" si="12"/>
        <v>100</v>
      </c>
      <c r="T32" s="774" t="s">
        <v>21</v>
      </c>
      <c r="U32" s="775">
        <f t="shared" si="13"/>
        <v>100</v>
      </c>
      <c r="V32" s="774" t="s">
        <v>21</v>
      </c>
      <c r="W32" s="775">
        <f t="shared" si="14"/>
        <v>100</v>
      </c>
      <c r="X32" s="1816"/>
      <c r="Y32" s="3220"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18"/>
      <c r="Q33" s="776" t="str">
        <f t="shared" si="11"/>
        <v>项目建筑规模</v>
      </c>
      <c r="R33" s="777" t="s">
        <v>21</v>
      </c>
      <c r="S33" s="778" t="e">
        <f t="shared" si="12"/>
        <v>#N/A</v>
      </c>
      <c r="T33" s="777" t="s">
        <v>21</v>
      </c>
      <c r="U33" s="778" t="e">
        <f t="shared" si="13"/>
        <v>#N/A</v>
      </c>
      <c r="V33" s="777" t="s">
        <v>21</v>
      </c>
      <c r="W33" s="778" t="e">
        <f t="shared" si="14"/>
        <v>#N/A</v>
      </c>
      <c r="X33" s="779"/>
      <c r="Y33" s="3220"/>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18"/>
      <c r="Q34" s="1813" t="str">
        <f t="shared" si="11"/>
        <v>建筑结构</v>
      </c>
      <c r="R34" s="774" t="s">
        <v>21</v>
      </c>
      <c r="S34" s="775">
        <f t="shared" si="12"/>
        <v>100</v>
      </c>
      <c r="T34" s="774" t="s">
        <v>21</v>
      </c>
      <c r="U34" s="775">
        <f t="shared" si="13"/>
        <v>100</v>
      </c>
      <c r="V34" s="774" t="s">
        <v>21</v>
      </c>
      <c r="W34" s="775">
        <f t="shared" si="14"/>
        <v>100</v>
      </c>
      <c r="X34" s="1816"/>
      <c r="Y34" s="3220"/>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18"/>
      <c r="Q35" s="1813" t="str">
        <f t="shared" si="11"/>
        <v>建筑品质</v>
      </c>
      <c r="R35" s="774" t="s">
        <v>21</v>
      </c>
      <c r="S35" s="775">
        <f t="shared" si="12"/>
        <v>100</v>
      </c>
      <c r="T35" s="774" t="s">
        <v>21</v>
      </c>
      <c r="U35" s="775">
        <f t="shared" si="13"/>
        <v>100</v>
      </c>
      <c r="V35" s="774" t="s">
        <v>21</v>
      </c>
      <c r="W35" s="775">
        <f t="shared" si="14"/>
        <v>100</v>
      </c>
      <c r="X35" s="1816"/>
      <c r="Y35" s="3220"/>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18"/>
      <c r="Q36" s="1813" t="str">
        <f t="shared" si="11"/>
        <v>公共部分装修</v>
      </c>
      <c r="R36" s="774" t="s">
        <v>21</v>
      </c>
      <c r="S36" s="775">
        <f t="shared" si="12"/>
        <v>100</v>
      </c>
      <c r="T36" s="774" t="s">
        <v>21</v>
      </c>
      <c r="U36" s="775">
        <f t="shared" si="13"/>
        <v>100</v>
      </c>
      <c r="V36" s="774" t="s">
        <v>21</v>
      </c>
      <c r="W36" s="775">
        <f t="shared" si="14"/>
        <v>100</v>
      </c>
      <c r="X36" s="1816"/>
      <c r="Y36" s="3220"/>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8"/>
      <c r="Q37" s="1798" t="str">
        <f t="shared" si="11"/>
        <v>成新度</v>
      </c>
      <c r="R37" s="770" t="s">
        <v>21</v>
      </c>
      <c r="S37" s="771" t="e">
        <f t="shared" si="12"/>
        <v>#N/A</v>
      </c>
      <c r="T37" s="770" t="s">
        <v>21</v>
      </c>
      <c r="U37" s="771" t="e">
        <f t="shared" si="13"/>
        <v>#N/A</v>
      </c>
      <c r="V37" s="770" t="s">
        <v>21</v>
      </c>
      <c r="W37" s="771" t="e">
        <f t="shared" si="14"/>
        <v>#N/A</v>
      </c>
      <c r="X37" s="772"/>
      <c r="Y37" s="3220"/>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18" t="s">
        <v>2568</v>
      </c>
      <c r="Q38" s="1813" t="str">
        <f t="shared" si="11"/>
        <v>物业管理</v>
      </c>
      <c r="R38" s="774" t="s">
        <v>21</v>
      </c>
      <c r="S38" s="775">
        <f t="shared" si="12"/>
        <v>100</v>
      </c>
      <c r="T38" s="774" t="s">
        <v>21</v>
      </c>
      <c r="U38" s="775">
        <f t="shared" si="13"/>
        <v>100</v>
      </c>
      <c r="V38" s="774" t="s">
        <v>21</v>
      </c>
      <c r="W38" s="775">
        <f t="shared" si="14"/>
        <v>100</v>
      </c>
      <c r="X38" s="1816"/>
      <c r="Y38" s="3220"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18"/>
      <c r="Q39" s="1813" t="str">
        <f t="shared" si="11"/>
        <v>市政基础设施</v>
      </c>
      <c r="R39" s="774" t="s">
        <v>21</v>
      </c>
      <c r="S39" s="775">
        <f t="shared" si="12"/>
        <v>100</v>
      </c>
      <c r="T39" s="774" t="s">
        <v>21</v>
      </c>
      <c r="U39" s="775">
        <f t="shared" si="13"/>
        <v>100</v>
      </c>
      <c r="V39" s="774" t="s">
        <v>21</v>
      </c>
      <c r="W39" s="775">
        <f t="shared" si="14"/>
        <v>100</v>
      </c>
      <c r="X39" s="1816"/>
      <c r="Y39" s="3220"/>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18"/>
      <c r="Q40" s="1813" t="str">
        <f t="shared" si="11"/>
        <v>房型</v>
      </c>
      <c r="R40" s="774" t="s">
        <v>21</v>
      </c>
      <c r="S40" s="775">
        <f t="shared" si="12"/>
        <v>100</v>
      </c>
      <c r="T40" s="774" t="s">
        <v>21</v>
      </c>
      <c r="U40" s="775">
        <f t="shared" si="13"/>
        <v>100</v>
      </c>
      <c r="V40" s="774" t="s">
        <v>21</v>
      </c>
      <c r="W40" s="775">
        <f t="shared" si="14"/>
        <v>100</v>
      </c>
      <c r="X40" s="1816"/>
      <c r="Y40" s="3220"/>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18"/>
      <c r="Q41" s="776" t="str">
        <f t="shared" si="11"/>
        <v>单套/主力户型建筑面积</v>
      </c>
      <c r="R41" s="777" t="s">
        <v>21</v>
      </c>
      <c r="S41" s="778">
        <f t="shared" si="12"/>
        <v>100</v>
      </c>
      <c r="T41" s="777" t="s">
        <v>21</v>
      </c>
      <c r="U41" s="778">
        <f t="shared" si="13"/>
        <v>100</v>
      </c>
      <c r="V41" s="777" t="s">
        <v>21</v>
      </c>
      <c r="W41" s="778">
        <f t="shared" si="14"/>
        <v>100</v>
      </c>
      <c r="X41" s="779"/>
      <c r="Y41" s="3220"/>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18"/>
      <c r="Q42" s="1813" t="str">
        <f t="shared" si="11"/>
        <v>内部装修</v>
      </c>
      <c r="R42" s="774" t="s">
        <v>21</v>
      </c>
      <c r="S42" s="775">
        <f t="shared" si="12"/>
        <v>100</v>
      </c>
      <c r="T42" s="774" t="s">
        <v>21</v>
      </c>
      <c r="U42" s="775">
        <f t="shared" si="13"/>
        <v>100</v>
      </c>
      <c r="V42" s="774" t="s">
        <v>21</v>
      </c>
      <c r="W42" s="775">
        <f t="shared" si="14"/>
        <v>100</v>
      </c>
      <c r="X42" s="1816"/>
      <c r="Y42" s="3220"/>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18"/>
      <c r="Q43" s="1813" t="str">
        <f t="shared" si="11"/>
        <v>内部装修维护情况</v>
      </c>
      <c r="R43" s="774" t="s">
        <v>21</v>
      </c>
      <c r="S43" s="775">
        <f t="shared" si="12"/>
        <v>100</v>
      </c>
      <c r="T43" s="774" t="s">
        <v>21</v>
      </c>
      <c r="U43" s="775">
        <f t="shared" si="13"/>
        <v>100</v>
      </c>
      <c r="V43" s="774" t="s">
        <v>21</v>
      </c>
      <c r="W43" s="775">
        <f t="shared" si="14"/>
        <v>100</v>
      </c>
      <c r="X43" s="1816"/>
      <c r="Y43" s="3220"/>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18"/>
      <c r="Q44" s="1798">
        <f t="shared" si="11"/>
        <v>111</v>
      </c>
      <c r="R44" s="770" t="s">
        <v>21</v>
      </c>
      <c r="S44" s="771">
        <f t="shared" si="12"/>
        <v>100</v>
      </c>
      <c r="T44" s="770" t="s">
        <v>21</v>
      </c>
      <c r="U44" s="771">
        <f t="shared" si="13"/>
        <v>100</v>
      </c>
      <c r="V44" s="770" t="s">
        <v>21</v>
      </c>
      <c r="W44" s="771">
        <f t="shared" si="14"/>
        <v>100</v>
      </c>
      <c r="X44" s="772"/>
      <c r="Y44" s="322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18"/>
      <c r="Q45" s="1813">
        <f t="shared" si="11"/>
        <v>111</v>
      </c>
      <c r="R45" s="774" t="s">
        <v>21</v>
      </c>
      <c r="S45" s="775">
        <f t="shared" si="12"/>
        <v>100</v>
      </c>
      <c r="T45" s="774" t="s">
        <v>21</v>
      </c>
      <c r="U45" s="775">
        <f t="shared" si="13"/>
        <v>100</v>
      </c>
      <c r="V45" s="774" t="s">
        <v>21</v>
      </c>
      <c r="W45" s="775">
        <f t="shared" si="14"/>
        <v>100</v>
      </c>
      <c r="X45" s="1816"/>
      <c r="Y45" s="3220"/>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19"/>
      <c r="Q46" s="1813">
        <f t="shared" si="11"/>
        <v>111</v>
      </c>
      <c r="R46" s="774" t="s">
        <v>20</v>
      </c>
      <c r="S46" s="775">
        <f t="shared" si="12"/>
        <v>100</v>
      </c>
      <c r="T46" s="774" t="s">
        <v>20</v>
      </c>
      <c r="U46" s="775">
        <f t="shared" si="13"/>
        <v>100</v>
      </c>
      <c r="V46" s="774" t="s">
        <v>20</v>
      </c>
      <c r="W46" s="775">
        <f t="shared" si="14"/>
        <v>100</v>
      </c>
      <c r="X46" s="1816"/>
      <c r="Y46" s="322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213" t="str">
        <f>A47</f>
        <v>成交单价（元/平方米）</v>
      </c>
      <c r="Q47" s="3213"/>
      <c r="R47" s="3214">
        <f>E47</f>
        <v>0</v>
      </c>
      <c r="S47" s="3214"/>
      <c r="T47" s="3214">
        <f>G47</f>
        <v>0</v>
      </c>
      <c r="U47" s="3214"/>
      <c r="V47" s="3214">
        <f>I47</f>
        <v>0</v>
      </c>
      <c r="W47" s="3214"/>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2101</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2330</v>
      </c>
      <c r="B2" s="1421" t="e">
        <f ca="1">IF(C2="——",ROUND(C49*D3/10000,0),ROUND(C49*D3/10000,0)-D2)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2332</v>
      </c>
      <c r="B3" s="609" t="e">
        <f ca="1">IF(C2="——",C49,ROUND(B2*10000/D3,0))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44"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44"/>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44"/>
      <c r="AC6" s="3227"/>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24"/>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24"/>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24"/>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24"/>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2" t="s">
        <v>2563</v>
      </c>
      <c r="Q15" s="1813" t="str">
        <f t="shared" si="6"/>
        <v>商业繁华度</v>
      </c>
      <c r="R15" s="774" t="s">
        <v>17</v>
      </c>
      <c r="S15" s="775">
        <f t="shared" si="0"/>
        <v>100</v>
      </c>
      <c r="T15" s="774" t="s">
        <v>17</v>
      </c>
      <c r="U15" s="775">
        <f t="shared" si="1"/>
        <v>100</v>
      </c>
      <c r="V15" s="774" t="s">
        <v>17</v>
      </c>
      <c r="W15" s="775">
        <f t="shared" si="2"/>
        <v>100</v>
      </c>
      <c r="X15" s="1816"/>
      <c r="Y15" s="3215"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3"/>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3"/>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23"/>
      <c r="Q18" s="1813"/>
      <c r="R18" s="774"/>
      <c r="S18" s="775"/>
      <c r="T18" s="774"/>
      <c r="U18" s="775"/>
      <c r="V18" s="774"/>
      <c r="W18" s="775"/>
      <c r="X18" s="1816"/>
      <c r="Y18" s="3216"/>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3"/>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23"/>
      <c r="Q20" s="1813"/>
      <c r="R20" s="774"/>
      <c r="S20" s="775"/>
      <c r="T20" s="774"/>
      <c r="U20" s="775"/>
      <c r="V20" s="774"/>
      <c r="W20" s="775"/>
      <c r="X20" s="1816"/>
      <c r="Y20" s="3216"/>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23"/>
      <c r="Q22" s="1813"/>
      <c r="R22" s="774"/>
      <c r="S22" s="775"/>
      <c r="T22" s="774"/>
      <c r="U22" s="775"/>
      <c r="V22" s="774"/>
      <c r="W22" s="775"/>
      <c r="X22" s="1816"/>
      <c r="Y22" s="3216"/>
      <c r="Z22" s="1817"/>
      <c r="AA22" s="1814">
        <v>1</v>
      </c>
      <c r="AB22" s="1814">
        <v>1</v>
      </c>
      <c r="AC22" s="1814">
        <v>1</v>
      </c>
    </row>
    <row r="23" spans="1:29" ht="57">
      <c r="A23" s="428"/>
      <c r="B23" s="451" t="s">
        <v>2105</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3"/>
      <c r="Q23" s="1813" t="str">
        <f>B23</f>
        <v>自然及人文环境</v>
      </c>
      <c r="R23" s="774" t="s">
        <v>17</v>
      </c>
      <c r="S23" s="775">
        <f>F23</f>
        <v>100</v>
      </c>
      <c r="T23" s="774" t="s">
        <v>17</v>
      </c>
      <c r="U23" s="775">
        <f>H23</f>
        <v>100</v>
      </c>
      <c r="V23" s="774" t="s">
        <v>17</v>
      </c>
      <c r="W23" s="775">
        <f>J23</f>
        <v>100</v>
      </c>
      <c r="X23" s="1816"/>
      <c r="Y23" s="321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23"/>
      <c r="Q24" s="1813"/>
      <c r="R24" s="774"/>
      <c r="S24" s="775"/>
      <c r="T24" s="774"/>
      <c r="U24" s="775"/>
      <c r="V24" s="774"/>
      <c r="W24" s="775"/>
      <c r="X24" s="1816"/>
      <c r="Y24" s="3216"/>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3"/>
      <c r="Q25" s="1813" t="str">
        <f t="shared" ref="Q25:Q46" si="11">B25</f>
        <v>临街状况</v>
      </c>
      <c r="R25" s="774" t="s">
        <v>17</v>
      </c>
      <c r="S25" s="775">
        <f>F25</f>
        <v>100</v>
      </c>
      <c r="T25" s="774" t="s">
        <v>17</v>
      </c>
      <c r="U25" s="775">
        <f>H25</f>
        <v>100</v>
      </c>
      <c r="V25" s="774" t="s">
        <v>17</v>
      </c>
      <c r="W25" s="775">
        <f>J25</f>
        <v>100</v>
      </c>
      <c r="X25" s="1816"/>
      <c r="Y25" s="3216"/>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3"/>
      <c r="Q26" s="1813" t="str">
        <f t="shared" si="11"/>
        <v>平面位置/可视性</v>
      </c>
      <c r="R26" s="774" t="s">
        <v>17</v>
      </c>
      <c r="S26" s="775">
        <f>F26</f>
        <v>100</v>
      </c>
      <c r="T26" s="774" t="s">
        <v>17</v>
      </c>
      <c r="U26" s="775">
        <f>H26</f>
        <v>100</v>
      </c>
      <c r="V26" s="774" t="s">
        <v>17</v>
      </c>
      <c r="W26" s="775">
        <f>J26</f>
        <v>100</v>
      </c>
      <c r="X26" s="1816"/>
      <c r="Y26" s="3216"/>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23"/>
      <c r="Q27" s="1798" t="str">
        <f t="shared" si="11"/>
        <v>人流量</v>
      </c>
      <c r="R27" s="770" t="s">
        <v>17</v>
      </c>
      <c r="S27" s="771">
        <f>F27</f>
        <v>100</v>
      </c>
      <c r="T27" s="770" t="s">
        <v>17</v>
      </c>
      <c r="U27" s="771">
        <f>H27</f>
        <v>100</v>
      </c>
      <c r="V27" s="770" t="s">
        <v>17</v>
      </c>
      <c r="W27" s="771">
        <f>J27</f>
        <v>100</v>
      </c>
      <c r="X27" s="772"/>
      <c r="Y27" s="3216"/>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3"/>
      <c r="Q29" s="1813">
        <f t="shared" si="11"/>
        <v>111</v>
      </c>
      <c r="R29" s="774" t="s">
        <v>17</v>
      </c>
      <c r="S29" s="775">
        <f t="shared" si="12"/>
        <v>100</v>
      </c>
      <c r="T29" s="774" t="s">
        <v>17</v>
      </c>
      <c r="U29" s="775">
        <f t="shared" si="13"/>
        <v>100</v>
      </c>
      <c r="V29" s="774" t="s">
        <v>17</v>
      </c>
      <c r="W29" s="775">
        <f t="shared" si="14"/>
        <v>100</v>
      </c>
      <c r="X29" s="1816"/>
      <c r="Y29" s="321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3"/>
      <c r="Q30" s="1813">
        <f t="shared" si="11"/>
        <v>111</v>
      </c>
      <c r="R30" s="774" t="s">
        <v>17</v>
      </c>
      <c r="S30" s="775">
        <f t="shared" si="12"/>
        <v>100</v>
      </c>
      <c r="T30" s="774" t="s">
        <v>17</v>
      </c>
      <c r="U30" s="775">
        <f t="shared" si="13"/>
        <v>100</v>
      </c>
      <c r="V30" s="774" t="s">
        <v>17</v>
      </c>
      <c r="W30" s="775">
        <f t="shared" si="14"/>
        <v>100</v>
      </c>
      <c r="X30" s="1816"/>
      <c r="Y30" s="321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3"/>
      <c r="Q31" s="1813">
        <f t="shared" si="11"/>
        <v>111</v>
      </c>
      <c r="R31" s="774" t="s">
        <v>17</v>
      </c>
      <c r="S31" s="775">
        <f t="shared" si="12"/>
        <v>100</v>
      </c>
      <c r="T31" s="774" t="s">
        <v>17</v>
      </c>
      <c r="U31" s="775">
        <f t="shared" si="13"/>
        <v>100</v>
      </c>
      <c r="V31" s="774" t="s">
        <v>17</v>
      </c>
      <c r="W31" s="775">
        <f t="shared" si="14"/>
        <v>100</v>
      </c>
      <c r="X31" s="1816"/>
      <c r="Y31" s="3216"/>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17" t="s">
        <v>2568</v>
      </c>
      <c r="Q32" s="1813" t="str">
        <f t="shared" si="11"/>
        <v>商业类型</v>
      </c>
      <c r="R32" s="774" t="s">
        <v>17</v>
      </c>
      <c r="S32" s="775">
        <f t="shared" si="12"/>
        <v>100</v>
      </c>
      <c r="T32" s="774" t="s">
        <v>17</v>
      </c>
      <c r="U32" s="775">
        <f t="shared" si="13"/>
        <v>100</v>
      </c>
      <c r="V32" s="774" t="s">
        <v>17</v>
      </c>
      <c r="W32" s="775">
        <f t="shared" si="14"/>
        <v>100</v>
      </c>
      <c r="X32" s="1816"/>
      <c r="Y32" s="3220"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8"/>
      <c r="Q33" s="776" t="str">
        <f t="shared" si="11"/>
        <v>项目建筑规模</v>
      </c>
      <c r="R33" s="777" t="s">
        <v>17</v>
      </c>
      <c r="S33" s="778" t="e">
        <f t="shared" si="12"/>
        <v>#N/A</v>
      </c>
      <c r="T33" s="777" t="s">
        <v>17</v>
      </c>
      <c r="U33" s="778" t="e">
        <f t="shared" si="13"/>
        <v>#N/A</v>
      </c>
      <c r="V33" s="777" t="s">
        <v>17</v>
      </c>
      <c r="W33" s="778" t="e">
        <f t="shared" si="14"/>
        <v>#N/A</v>
      </c>
      <c r="X33" s="779"/>
      <c r="Y33" s="3220"/>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18"/>
      <c r="Q34" s="1813" t="str">
        <f t="shared" si="11"/>
        <v>建筑结构</v>
      </c>
      <c r="R34" s="774" t="s">
        <v>17</v>
      </c>
      <c r="S34" s="775">
        <f t="shared" si="12"/>
        <v>100</v>
      </c>
      <c r="T34" s="774" t="s">
        <v>17</v>
      </c>
      <c r="U34" s="775">
        <f t="shared" si="13"/>
        <v>100</v>
      </c>
      <c r="V34" s="774" t="s">
        <v>17</v>
      </c>
      <c r="W34" s="775">
        <f t="shared" si="14"/>
        <v>100</v>
      </c>
      <c r="X34" s="1816"/>
      <c r="Y34" s="3220"/>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18"/>
      <c r="Q35" s="1813" t="str">
        <f t="shared" si="11"/>
        <v>公共部分装修</v>
      </c>
      <c r="R35" s="774" t="s">
        <v>17</v>
      </c>
      <c r="S35" s="775">
        <f t="shared" si="12"/>
        <v>100</v>
      </c>
      <c r="T35" s="774" t="s">
        <v>17</v>
      </c>
      <c r="U35" s="775">
        <f t="shared" si="13"/>
        <v>100</v>
      </c>
      <c r="V35" s="774" t="s">
        <v>17</v>
      </c>
      <c r="W35" s="775">
        <f t="shared" si="14"/>
        <v>100</v>
      </c>
      <c r="X35" s="1816"/>
      <c r="Y35" s="3220"/>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8"/>
      <c r="Q36" s="1813" t="str">
        <f t="shared" si="11"/>
        <v>成新度</v>
      </c>
      <c r="R36" s="774" t="s">
        <v>17</v>
      </c>
      <c r="S36" s="775" t="e">
        <f t="shared" si="12"/>
        <v>#N/A</v>
      </c>
      <c r="T36" s="774" t="s">
        <v>17</v>
      </c>
      <c r="U36" s="775" t="e">
        <f t="shared" si="13"/>
        <v>#N/A</v>
      </c>
      <c r="V36" s="774" t="s">
        <v>17</v>
      </c>
      <c r="W36" s="775" t="e">
        <f t="shared" si="14"/>
        <v>#N/A</v>
      </c>
      <c r="X36" s="1816"/>
      <c r="Y36" s="3220"/>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18"/>
      <c r="Q37" s="1798" t="str">
        <f t="shared" si="11"/>
        <v>市政基础设施</v>
      </c>
      <c r="R37" s="770" t="s">
        <v>17</v>
      </c>
      <c r="S37" s="771">
        <f t="shared" si="12"/>
        <v>100</v>
      </c>
      <c r="T37" s="770" t="s">
        <v>17</v>
      </c>
      <c r="U37" s="771">
        <f t="shared" si="13"/>
        <v>100</v>
      </c>
      <c r="V37" s="770" t="s">
        <v>17</v>
      </c>
      <c r="W37" s="771">
        <f t="shared" si="14"/>
        <v>100</v>
      </c>
      <c r="X37" s="772"/>
      <c r="Y37" s="3220"/>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18" t="s">
        <v>2568</v>
      </c>
      <c r="Q38" s="1813" t="str">
        <f t="shared" si="11"/>
        <v>业态</v>
      </c>
      <c r="R38" s="774" t="s">
        <v>17</v>
      </c>
      <c r="S38" s="775">
        <f t="shared" si="12"/>
        <v>100</v>
      </c>
      <c r="T38" s="774" t="s">
        <v>17</v>
      </c>
      <c r="U38" s="775">
        <f t="shared" si="13"/>
        <v>100</v>
      </c>
      <c r="V38" s="774" t="s">
        <v>17</v>
      </c>
      <c r="W38" s="775">
        <f t="shared" si="14"/>
        <v>100</v>
      </c>
      <c r="X38" s="1816"/>
      <c r="Y38" s="3220"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18"/>
      <c r="Q39" s="1813" t="str">
        <f t="shared" si="11"/>
        <v>层高</v>
      </c>
      <c r="R39" s="774" t="s">
        <v>17</v>
      </c>
      <c r="S39" s="775">
        <f t="shared" si="12"/>
        <v>100</v>
      </c>
      <c r="T39" s="774" t="s">
        <v>17</v>
      </c>
      <c r="U39" s="775">
        <f t="shared" si="13"/>
        <v>100</v>
      </c>
      <c r="V39" s="774" t="s">
        <v>17</v>
      </c>
      <c r="W39" s="775">
        <f t="shared" si="14"/>
        <v>100</v>
      </c>
      <c r="X39" s="1816"/>
      <c r="Y39" s="3220"/>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8"/>
      <c r="Q40" s="1813" t="str">
        <f t="shared" si="11"/>
        <v>单套建筑面积</v>
      </c>
      <c r="R40" s="774" t="s">
        <v>17</v>
      </c>
      <c r="S40" s="775">
        <f t="shared" si="12"/>
        <v>100</v>
      </c>
      <c r="T40" s="774" t="s">
        <v>17</v>
      </c>
      <c r="U40" s="775">
        <f t="shared" si="13"/>
        <v>100</v>
      </c>
      <c r="V40" s="774" t="s">
        <v>17</v>
      </c>
      <c r="W40" s="775">
        <f t="shared" si="14"/>
        <v>100</v>
      </c>
      <c r="X40" s="1816"/>
      <c r="Y40" s="3220"/>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8"/>
      <c r="Q41" s="776" t="str">
        <f t="shared" si="11"/>
        <v>进深比</v>
      </c>
      <c r="R41" s="777" t="s">
        <v>17</v>
      </c>
      <c r="S41" s="778">
        <f t="shared" si="12"/>
        <v>100</v>
      </c>
      <c r="T41" s="777" t="s">
        <v>17</v>
      </c>
      <c r="U41" s="778">
        <f t="shared" si="13"/>
        <v>100</v>
      </c>
      <c r="V41" s="777" t="s">
        <v>17</v>
      </c>
      <c r="W41" s="778">
        <f t="shared" si="14"/>
        <v>100</v>
      </c>
      <c r="X41" s="779"/>
      <c r="Y41" s="3220"/>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18"/>
      <c r="Q42" s="1813" t="str">
        <f t="shared" si="11"/>
        <v>内部装修</v>
      </c>
      <c r="R42" s="774" t="s">
        <v>17</v>
      </c>
      <c r="S42" s="775">
        <f t="shared" si="12"/>
        <v>100</v>
      </c>
      <c r="T42" s="774" t="s">
        <v>17</v>
      </c>
      <c r="U42" s="775">
        <f t="shared" si="13"/>
        <v>100</v>
      </c>
      <c r="V42" s="774" t="s">
        <v>17</v>
      </c>
      <c r="W42" s="775">
        <f t="shared" si="14"/>
        <v>100</v>
      </c>
      <c r="X42" s="1816"/>
      <c r="Y42" s="3220"/>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18"/>
      <c r="Q43" s="1813" t="str">
        <f t="shared" si="11"/>
        <v>内部装修维护情况</v>
      </c>
      <c r="R43" s="774" t="s">
        <v>17</v>
      </c>
      <c r="S43" s="775">
        <f t="shared" si="12"/>
        <v>100</v>
      </c>
      <c r="T43" s="774" t="s">
        <v>17</v>
      </c>
      <c r="U43" s="775">
        <f t="shared" si="13"/>
        <v>100</v>
      </c>
      <c r="V43" s="774" t="s">
        <v>17</v>
      </c>
      <c r="W43" s="775">
        <f t="shared" si="14"/>
        <v>100</v>
      </c>
      <c r="X43" s="1816"/>
      <c r="Y43" s="322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8"/>
      <c r="Q44" s="1798">
        <f t="shared" si="11"/>
        <v>111</v>
      </c>
      <c r="R44" s="770" t="s">
        <v>17</v>
      </c>
      <c r="S44" s="771">
        <f t="shared" si="12"/>
        <v>100</v>
      </c>
      <c r="T44" s="770" t="s">
        <v>17</v>
      </c>
      <c r="U44" s="771">
        <f t="shared" si="13"/>
        <v>100</v>
      </c>
      <c r="V44" s="770" t="s">
        <v>17</v>
      </c>
      <c r="W44" s="771">
        <f t="shared" si="14"/>
        <v>100</v>
      </c>
      <c r="X44" s="772"/>
      <c r="Y44" s="322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8"/>
      <c r="Q45" s="1813">
        <f t="shared" si="11"/>
        <v>111</v>
      </c>
      <c r="R45" s="774" t="s">
        <v>17</v>
      </c>
      <c r="S45" s="775">
        <f t="shared" si="12"/>
        <v>100</v>
      </c>
      <c r="T45" s="774" t="s">
        <v>17</v>
      </c>
      <c r="U45" s="775">
        <f t="shared" si="13"/>
        <v>100</v>
      </c>
      <c r="V45" s="774" t="s">
        <v>17</v>
      </c>
      <c r="W45" s="775">
        <f t="shared" si="14"/>
        <v>100</v>
      </c>
      <c r="X45" s="1816"/>
      <c r="Y45" s="3220"/>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9"/>
      <c r="Q46" s="1813">
        <f t="shared" si="11"/>
        <v>111</v>
      </c>
      <c r="R46" s="774" t="s">
        <v>17</v>
      </c>
      <c r="S46" s="775">
        <f t="shared" si="12"/>
        <v>100</v>
      </c>
      <c r="T46" s="774" t="s">
        <v>17</v>
      </c>
      <c r="U46" s="775">
        <f t="shared" si="13"/>
        <v>100</v>
      </c>
      <c r="V46" s="774" t="s">
        <v>17</v>
      </c>
      <c r="W46" s="775">
        <f t="shared" si="14"/>
        <v>100</v>
      </c>
      <c r="X46" s="1816"/>
      <c r="Y46" s="322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213" t="str">
        <f>A47</f>
        <v>成交单价（元/平方米）</v>
      </c>
      <c r="Q47" s="3213"/>
      <c r="R47" s="3244">
        <f>E47</f>
        <v>0</v>
      </c>
      <c r="S47" s="3244"/>
      <c r="T47" s="3244">
        <f>G47</f>
        <v>0</v>
      </c>
      <c r="U47" s="3244"/>
      <c r="V47" s="3244">
        <f>I47</f>
        <v>0</v>
      </c>
      <c r="W47" s="3244"/>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IF(C2="——",ROUND(C50*D3/10000,0),ROUND(C50*D3/10000,0)-D2)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IF(C2="——",C50,ROUND(B2*10000/D3,0))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62" t="s">
        <v>2654</v>
      </c>
      <c r="Q4" s="3263"/>
      <c r="R4" s="3266" t="s">
        <v>2650</v>
      </c>
      <c r="S4" s="3267"/>
      <c r="T4" s="3266" t="s">
        <v>2651</v>
      </c>
      <c r="U4" s="3267"/>
      <c r="V4" s="3268" t="s">
        <v>2652</v>
      </c>
      <c r="W4" s="3268"/>
      <c r="X4" s="2676"/>
      <c r="Y4" s="3266" t="s">
        <v>2654</v>
      </c>
      <c r="Z4" s="3267"/>
      <c r="AA4" s="3270" t="s">
        <v>2650</v>
      </c>
      <c r="AB4" s="3270" t="s">
        <v>2651</v>
      </c>
      <c r="AC4" s="3259" t="s">
        <v>2652</v>
      </c>
    </row>
    <row r="5" spans="1:29" ht="15">
      <c r="A5" s="404"/>
      <c r="B5" s="405"/>
      <c r="C5" s="3247" t="s">
        <v>2545</v>
      </c>
      <c r="D5" s="3248"/>
      <c r="E5" s="3254" t="s">
        <v>2546</v>
      </c>
      <c r="F5" s="3255"/>
      <c r="G5" s="3247" t="s">
        <v>2547</v>
      </c>
      <c r="H5" s="3248"/>
      <c r="I5" s="3247" t="s">
        <v>2548</v>
      </c>
      <c r="J5" s="3248"/>
      <c r="K5" s="610"/>
      <c r="L5" s="1133"/>
      <c r="M5" s="1134"/>
      <c r="N5" s="1134"/>
      <c r="O5" s="1134"/>
      <c r="P5" s="3264"/>
      <c r="Q5" s="3235"/>
      <c r="R5" s="3240"/>
      <c r="S5" s="3241"/>
      <c r="T5" s="3240"/>
      <c r="U5" s="3241"/>
      <c r="V5" s="3244"/>
      <c r="W5" s="3244"/>
      <c r="X5" s="1816"/>
      <c r="Y5" s="3240"/>
      <c r="Z5" s="3241"/>
      <c r="AA5" s="3226"/>
      <c r="AB5" s="3226"/>
      <c r="AC5" s="3260"/>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65"/>
      <c r="Q6" s="3237"/>
      <c r="R6" s="3240"/>
      <c r="S6" s="3241"/>
      <c r="T6" s="3242"/>
      <c r="U6" s="3243"/>
      <c r="V6" s="3244"/>
      <c r="W6" s="3244"/>
      <c r="X6" s="1816"/>
      <c r="Y6" s="3242"/>
      <c r="Z6" s="3243"/>
      <c r="AA6" s="3227"/>
      <c r="AB6" s="3227"/>
      <c r="AC6" s="3261"/>
    </row>
    <row r="7" spans="1:29" s="117" customFormat="1" ht="15.75" thickBot="1">
      <c r="A7" s="408" t="s">
        <v>2551</v>
      </c>
      <c r="B7" s="409"/>
      <c r="C7" s="410">
        <f>'数据-取费表'!B2</f>
        <v>43359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6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69" t="s">
        <v>2555</v>
      </c>
      <c r="Q8" s="3250"/>
      <c r="R8" s="770" t="s">
        <v>17</v>
      </c>
      <c r="S8" s="771">
        <f t="shared" si="0"/>
        <v>0</v>
      </c>
      <c r="T8" s="770" t="s">
        <v>17</v>
      </c>
      <c r="U8" s="771">
        <f t="shared" si="1"/>
        <v>0</v>
      </c>
      <c r="V8" s="770" t="s">
        <v>17</v>
      </c>
      <c r="W8" s="771">
        <f t="shared" si="2"/>
        <v>0</v>
      </c>
      <c r="X8" s="772"/>
      <c r="Y8" s="3249" t="s">
        <v>2555</v>
      </c>
      <c r="Z8" s="3250"/>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24"/>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24"/>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24"/>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24"/>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2" t="s">
        <v>2563</v>
      </c>
      <c r="Q15" s="1813" t="str">
        <f t="shared" si="6"/>
        <v>办公集聚程度</v>
      </c>
      <c r="R15" s="774" t="s">
        <v>17</v>
      </c>
      <c r="S15" s="775">
        <f t="shared" si="0"/>
        <v>100</v>
      </c>
      <c r="T15" s="774" t="s">
        <v>17</v>
      </c>
      <c r="U15" s="775">
        <f t="shared" si="1"/>
        <v>100</v>
      </c>
      <c r="V15" s="774" t="s">
        <v>17</v>
      </c>
      <c r="W15" s="775">
        <f t="shared" si="2"/>
        <v>100</v>
      </c>
      <c r="X15" s="1816"/>
      <c r="Y15" s="3215"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23"/>
      <c r="Q16" s="1813"/>
      <c r="R16" s="774"/>
      <c r="S16" s="775"/>
      <c r="T16" s="774"/>
      <c r="U16" s="775"/>
      <c r="V16" s="774"/>
      <c r="W16" s="775"/>
      <c r="X16" s="1816"/>
      <c r="Y16" s="3216"/>
      <c r="Z16" s="1817"/>
      <c r="AA16" s="1814">
        <v>1</v>
      </c>
      <c r="AB16" s="1814">
        <v>1</v>
      </c>
      <c r="AC16" s="2680">
        <v>1</v>
      </c>
    </row>
    <row r="17" spans="1:29" ht="71.25">
      <c r="A17" s="428"/>
      <c r="B17" s="631" t="s">
        <v>2100</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3"/>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23"/>
      <c r="Q18" s="1813"/>
      <c r="R18" s="774"/>
      <c r="S18" s="775"/>
      <c r="T18" s="774"/>
      <c r="U18" s="775"/>
      <c r="V18" s="774"/>
      <c r="W18" s="775"/>
      <c r="X18" s="1816"/>
      <c r="Y18" s="3216"/>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3"/>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23"/>
      <c r="Q20" s="1813"/>
      <c r="R20" s="774"/>
      <c r="S20" s="775"/>
      <c r="T20" s="774"/>
      <c r="U20" s="775"/>
      <c r="V20" s="774"/>
      <c r="W20" s="775"/>
      <c r="X20" s="1816"/>
      <c r="Y20" s="3216"/>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23"/>
      <c r="Q22" s="1813"/>
      <c r="R22" s="774"/>
      <c r="S22" s="775"/>
      <c r="T22" s="774"/>
      <c r="U22" s="775"/>
      <c r="V22" s="774"/>
      <c r="W22" s="775"/>
      <c r="X22" s="1816"/>
      <c r="Y22" s="3216"/>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3"/>
      <c r="Q23" s="1813" t="str">
        <f>B23</f>
        <v>环境质量</v>
      </c>
      <c r="R23" s="774" t="s">
        <v>17</v>
      </c>
      <c r="S23" s="775">
        <f>F23</f>
        <v>100</v>
      </c>
      <c r="T23" s="774" t="s">
        <v>17</v>
      </c>
      <c r="U23" s="775">
        <f>H23</f>
        <v>100</v>
      </c>
      <c r="V23" s="774" t="s">
        <v>17</v>
      </c>
      <c r="W23" s="775">
        <f>J23</f>
        <v>100</v>
      </c>
      <c r="X23" s="1816"/>
      <c r="Y23" s="321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23"/>
      <c r="Q24" s="1813"/>
      <c r="R24" s="774"/>
      <c r="S24" s="775"/>
      <c r="T24" s="774"/>
      <c r="U24" s="775"/>
      <c r="V24" s="774"/>
      <c r="W24" s="775"/>
      <c r="X24" s="1816"/>
      <c r="Y24" s="3216"/>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23"/>
      <c r="Q25" s="1813" t="str">
        <f>B25</f>
        <v>毗邻道路的类型与等级</v>
      </c>
      <c r="R25" s="774" t="s">
        <v>17</v>
      </c>
      <c r="S25" s="775">
        <f>F25</f>
        <v>100</v>
      </c>
      <c r="T25" s="774" t="s">
        <v>17</v>
      </c>
      <c r="U25" s="775">
        <f>H25</f>
        <v>100</v>
      </c>
      <c r="V25" s="774" t="s">
        <v>17</v>
      </c>
      <c r="W25" s="775">
        <f>J25</f>
        <v>100</v>
      </c>
      <c r="X25" s="1816"/>
      <c r="Y25" s="321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23"/>
      <c r="Q26" s="1813"/>
      <c r="R26" s="774"/>
      <c r="S26" s="775"/>
      <c r="T26" s="774"/>
      <c r="U26" s="775"/>
      <c r="V26" s="774"/>
      <c r="W26" s="775"/>
      <c r="X26" s="1816"/>
      <c r="Y26" s="3216"/>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3"/>
      <c r="Q27" s="1813" t="str">
        <f t="shared" ref="Q27:Q47" si="11">B27</f>
        <v>楼层</v>
      </c>
      <c r="R27" s="774" t="s">
        <v>17</v>
      </c>
      <c r="S27" s="775">
        <f>F27</f>
        <v>100</v>
      </c>
      <c r="T27" s="774" t="s">
        <v>17</v>
      </c>
      <c r="U27" s="775">
        <f>H27</f>
        <v>100</v>
      </c>
      <c r="V27" s="774" t="s">
        <v>17</v>
      </c>
      <c r="W27" s="775">
        <f>J27</f>
        <v>100</v>
      </c>
      <c r="X27" s="1816"/>
      <c r="Y27" s="3216"/>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23"/>
      <c r="Q28" s="1798" t="str">
        <f t="shared" si="11"/>
        <v>朝向</v>
      </c>
      <c r="R28" s="770" t="s">
        <v>17</v>
      </c>
      <c r="S28" s="771">
        <f>F28</f>
        <v>100</v>
      </c>
      <c r="T28" s="770" t="s">
        <v>17</v>
      </c>
      <c r="U28" s="771">
        <f>H28</f>
        <v>100</v>
      </c>
      <c r="V28" s="770" t="s">
        <v>17</v>
      </c>
      <c r="W28" s="771">
        <f>J28</f>
        <v>100</v>
      </c>
      <c r="X28" s="772"/>
      <c r="Y28" s="321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23"/>
      <c r="Q29" s="1813">
        <f t="shared" si="11"/>
        <v>111</v>
      </c>
      <c r="R29" s="774" t="s">
        <v>17</v>
      </c>
      <c r="S29" s="775">
        <f t="shared" ref="S29:S47" si="12">F29</f>
        <v>100</v>
      </c>
      <c r="T29" s="774" t="s">
        <v>17</v>
      </c>
      <c r="U29" s="775">
        <f t="shared" ref="U29:U47" si="13">H29</f>
        <v>100</v>
      </c>
      <c r="V29" s="774" t="s">
        <v>17</v>
      </c>
      <c r="W29" s="775">
        <f t="shared" ref="W29:W47" si="14">J29</f>
        <v>100</v>
      </c>
      <c r="X29" s="1816"/>
      <c r="Y29" s="321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23"/>
      <c r="Q30" s="1813">
        <f t="shared" si="11"/>
        <v>111</v>
      </c>
      <c r="R30" s="774" t="s">
        <v>17</v>
      </c>
      <c r="S30" s="775">
        <f t="shared" si="12"/>
        <v>100</v>
      </c>
      <c r="T30" s="774" t="s">
        <v>17</v>
      </c>
      <c r="U30" s="775">
        <f t="shared" si="13"/>
        <v>100</v>
      </c>
      <c r="V30" s="774" t="s">
        <v>17</v>
      </c>
      <c r="W30" s="775">
        <f t="shared" si="14"/>
        <v>100</v>
      </c>
      <c r="X30" s="1816"/>
      <c r="Y30" s="321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23"/>
      <c r="Q31" s="1813">
        <f t="shared" si="11"/>
        <v>111</v>
      </c>
      <c r="R31" s="774" t="s">
        <v>17</v>
      </c>
      <c r="S31" s="775">
        <f t="shared" si="12"/>
        <v>100</v>
      </c>
      <c r="T31" s="774" t="s">
        <v>17</v>
      </c>
      <c r="U31" s="775">
        <f t="shared" si="13"/>
        <v>100</v>
      </c>
      <c r="V31" s="774" t="s">
        <v>17</v>
      </c>
      <c r="W31" s="775">
        <f t="shared" si="14"/>
        <v>100</v>
      </c>
      <c r="X31" s="1816"/>
      <c r="Y31" s="321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23"/>
      <c r="Q32" s="1813">
        <f t="shared" si="11"/>
        <v>111</v>
      </c>
      <c r="R32" s="774" t="s">
        <v>17</v>
      </c>
      <c r="S32" s="775">
        <f t="shared" si="12"/>
        <v>100</v>
      </c>
      <c r="T32" s="774" t="s">
        <v>17</v>
      </c>
      <c r="U32" s="775">
        <f t="shared" si="13"/>
        <v>100</v>
      </c>
      <c r="V32" s="774" t="s">
        <v>17</v>
      </c>
      <c r="W32" s="775">
        <f t="shared" si="14"/>
        <v>100</v>
      </c>
      <c r="X32" s="1816"/>
      <c r="Y32" s="3216"/>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17" t="s">
        <v>2568</v>
      </c>
      <c r="Q33" s="1813" t="str">
        <f t="shared" si="11"/>
        <v>建筑类型</v>
      </c>
      <c r="R33" s="774" t="s">
        <v>17</v>
      </c>
      <c r="S33" s="775">
        <f t="shared" si="12"/>
        <v>100</v>
      </c>
      <c r="T33" s="774" t="s">
        <v>17</v>
      </c>
      <c r="U33" s="775">
        <f t="shared" si="13"/>
        <v>100</v>
      </c>
      <c r="V33" s="774" t="s">
        <v>17</v>
      </c>
      <c r="W33" s="775">
        <f t="shared" si="14"/>
        <v>100</v>
      </c>
      <c r="X33" s="1816"/>
      <c r="Y33" s="3220"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8"/>
      <c r="Q34" s="776" t="str">
        <f t="shared" si="11"/>
        <v>项目建筑规模</v>
      </c>
      <c r="R34" s="777" t="s">
        <v>17</v>
      </c>
      <c r="S34" s="778" t="e">
        <f t="shared" si="12"/>
        <v>#N/A</v>
      </c>
      <c r="T34" s="777" t="s">
        <v>17</v>
      </c>
      <c r="U34" s="778" t="e">
        <f t="shared" si="13"/>
        <v>#N/A</v>
      </c>
      <c r="V34" s="777" t="s">
        <v>17</v>
      </c>
      <c r="W34" s="778" t="e">
        <f t="shared" si="14"/>
        <v>#N/A</v>
      </c>
      <c r="X34" s="779"/>
      <c r="Y34" s="3220"/>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8"/>
      <c r="Q35" s="1813" t="str">
        <f t="shared" si="11"/>
        <v>建筑结构</v>
      </c>
      <c r="R35" s="774" t="s">
        <v>17</v>
      </c>
      <c r="S35" s="775">
        <f t="shared" si="12"/>
        <v>100</v>
      </c>
      <c r="T35" s="774" t="s">
        <v>17</v>
      </c>
      <c r="U35" s="775">
        <f t="shared" si="13"/>
        <v>100</v>
      </c>
      <c r="V35" s="774" t="s">
        <v>17</v>
      </c>
      <c r="W35" s="775">
        <f t="shared" si="14"/>
        <v>100</v>
      </c>
      <c r="X35" s="1816"/>
      <c r="Y35" s="3220"/>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8"/>
      <c r="Q36" s="1813" t="str">
        <f t="shared" si="11"/>
        <v>公共部分装修</v>
      </c>
      <c r="R36" s="774" t="s">
        <v>17</v>
      </c>
      <c r="S36" s="775">
        <f t="shared" si="12"/>
        <v>100</v>
      </c>
      <c r="T36" s="774" t="s">
        <v>17</v>
      </c>
      <c r="U36" s="775">
        <f t="shared" si="13"/>
        <v>100</v>
      </c>
      <c r="V36" s="774" t="s">
        <v>17</v>
      </c>
      <c r="W36" s="775">
        <f t="shared" si="14"/>
        <v>100</v>
      </c>
      <c r="X36" s="1816"/>
      <c r="Y36" s="3220"/>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8"/>
      <c r="Q37" s="1813" t="str">
        <f t="shared" si="11"/>
        <v>成新度</v>
      </c>
      <c r="R37" s="774" t="s">
        <v>17</v>
      </c>
      <c r="S37" s="775" t="e">
        <f t="shared" si="12"/>
        <v>#N/A</v>
      </c>
      <c r="T37" s="774" t="s">
        <v>17</v>
      </c>
      <c r="U37" s="775" t="e">
        <f t="shared" si="13"/>
        <v>#N/A</v>
      </c>
      <c r="V37" s="774" t="s">
        <v>17</v>
      </c>
      <c r="W37" s="775" t="e">
        <f t="shared" si="14"/>
        <v>#N/A</v>
      </c>
      <c r="X37" s="1816"/>
      <c r="Y37" s="3220"/>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8"/>
      <c r="Q38" s="1798" t="str">
        <f t="shared" si="11"/>
        <v>写字楼等级</v>
      </c>
      <c r="R38" s="770" t="s">
        <v>17</v>
      </c>
      <c r="S38" s="771">
        <f t="shared" si="12"/>
        <v>100</v>
      </c>
      <c r="T38" s="770" t="s">
        <v>17</v>
      </c>
      <c r="U38" s="771">
        <f t="shared" si="13"/>
        <v>100</v>
      </c>
      <c r="V38" s="770" t="s">
        <v>17</v>
      </c>
      <c r="W38" s="771">
        <f t="shared" si="14"/>
        <v>100</v>
      </c>
      <c r="X38" s="772"/>
      <c r="Y38" s="3220"/>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8" t="s">
        <v>2568</v>
      </c>
      <c r="Q39" s="1813" t="str">
        <f t="shared" si="11"/>
        <v>物业管理</v>
      </c>
      <c r="R39" s="774" t="s">
        <v>17</v>
      </c>
      <c r="S39" s="775">
        <f t="shared" si="12"/>
        <v>100</v>
      </c>
      <c r="T39" s="774" t="s">
        <v>17</v>
      </c>
      <c r="U39" s="775">
        <f t="shared" si="13"/>
        <v>100</v>
      </c>
      <c r="V39" s="774" t="s">
        <v>17</v>
      </c>
      <c r="W39" s="775">
        <f t="shared" si="14"/>
        <v>100</v>
      </c>
      <c r="X39" s="1816"/>
      <c r="Y39" s="3220"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8"/>
      <c r="Q40" s="1813" t="str">
        <f t="shared" si="11"/>
        <v>市政基础设施</v>
      </c>
      <c r="R40" s="774" t="s">
        <v>17</v>
      </c>
      <c r="S40" s="775">
        <f t="shared" si="12"/>
        <v>100</v>
      </c>
      <c r="T40" s="774" t="s">
        <v>17</v>
      </c>
      <c r="U40" s="775">
        <f t="shared" si="13"/>
        <v>100</v>
      </c>
      <c r="V40" s="774" t="s">
        <v>17</v>
      </c>
      <c r="W40" s="775">
        <f t="shared" si="14"/>
        <v>100</v>
      </c>
      <c r="X40" s="1816"/>
      <c r="Y40" s="3220"/>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8"/>
      <c r="Q41" s="1813" t="str">
        <f t="shared" si="11"/>
        <v>层高</v>
      </c>
      <c r="R41" s="774" t="s">
        <v>17</v>
      </c>
      <c r="S41" s="775">
        <f t="shared" si="12"/>
        <v>100</v>
      </c>
      <c r="T41" s="774" t="s">
        <v>17</v>
      </c>
      <c r="U41" s="775">
        <f t="shared" si="13"/>
        <v>100</v>
      </c>
      <c r="V41" s="774" t="s">
        <v>17</v>
      </c>
      <c r="W41" s="775">
        <f t="shared" si="14"/>
        <v>100</v>
      </c>
      <c r="X41" s="1816"/>
      <c r="Y41" s="3220"/>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8"/>
      <c r="Q42" s="776" t="str">
        <f t="shared" si="11"/>
        <v>单套建筑面积</v>
      </c>
      <c r="R42" s="777" t="s">
        <v>17</v>
      </c>
      <c r="S42" s="778">
        <f t="shared" si="12"/>
        <v>100</v>
      </c>
      <c r="T42" s="777" t="s">
        <v>17</v>
      </c>
      <c r="U42" s="778">
        <f t="shared" si="13"/>
        <v>100</v>
      </c>
      <c r="V42" s="777" t="s">
        <v>17</v>
      </c>
      <c r="W42" s="778">
        <f t="shared" si="14"/>
        <v>100</v>
      </c>
      <c r="X42" s="779"/>
      <c r="Y42" s="3220"/>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8"/>
      <c r="Q43" s="1813" t="str">
        <f t="shared" si="11"/>
        <v>内部装修</v>
      </c>
      <c r="R43" s="774" t="s">
        <v>17</v>
      </c>
      <c r="S43" s="775">
        <f t="shared" si="12"/>
        <v>100</v>
      </c>
      <c r="T43" s="774" t="s">
        <v>17</v>
      </c>
      <c r="U43" s="775">
        <f t="shared" si="13"/>
        <v>100</v>
      </c>
      <c r="V43" s="774" t="s">
        <v>17</v>
      </c>
      <c r="W43" s="775">
        <f t="shared" si="14"/>
        <v>100</v>
      </c>
      <c r="X43" s="1816"/>
      <c r="Y43" s="3220"/>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18"/>
      <c r="Q44" s="1813" t="str">
        <f t="shared" si="11"/>
        <v>内部装修维护情况</v>
      </c>
      <c r="R44" s="774" t="s">
        <v>17</v>
      </c>
      <c r="S44" s="775">
        <f t="shared" si="12"/>
        <v>100</v>
      </c>
      <c r="T44" s="774" t="s">
        <v>17</v>
      </c>
      <c r="U44" s="775">
        <f t="shared" si="13"/>
        <v>100</v>
      </c>
      <c r="V44" s="774" t="s">
        <v>17</v>
      </c>
      <c r="W44" s="775">
        <f t="shared" si="14"/>
        <v>100</v>
      </c>
      <c r="X44" s="1816"/>
      <c r="Y44" s="3220"/>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8"/>
      <c r="Q45" s="1798">
        <f t="shared" si="11"/>
        <v>111</v>
      </c>
      <c r="R45" s="770" t="s">
        <v>17</v>
      </c>
      <c r="S45" s="771">
        <f t="shared" si="12"/>
        <v>100</v>
      </c>
      <c r="T45" s="770" t="s">
        <v>17</v>
      </c>
      <c r="U45" s="771">
        <f t="shared" si="13"/>
        <v>100</v>
      </c>
      <c r="V45" s="770" t="s">
        <v>17</v>
      </c>
      <c r="W45" s="771">
        <f t="shared" si="14"/>
        <v>100</v>
      </c>
      <c r="X45" s="772"/>
      <c r="Y45" s="3220"/>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8"/>
      <c r="Q46" s="1813">
        <f t="shared" si="11"/>
        <v>111</v>
      </c>
      <c r="R46" s="774" t="s">
        <v>17</v>
      </c>
      <c r="S46" s="775">
        <f t="shared" si="12"/>
        <v>100</v>
      </c>
      <c r="T46" s="774" t="s">
        <v>17</v>
      </c>
      <c r="U46" s="775">
        <f t="shared" si="13"/>
        <v>100</v>
      </c>
      <c r="V46" s="774" t="s">
        <v>17</v>
      </c>
      <c r="W46" s="775">
        <f t="shared" si="14"/>
        <v>100</v>
      </c>
      <c r="X46" s="1816"/>
      <c r="Y46" s="3220"/>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9"/>
      <c r="Q47" s="1813">
        <f t="shared" si="11"/>
        <v>111</v>
      </c>
      <c r="R47" s="774" t="s">
        <v>17</v>
      </c>
      <c r="S47" s="775">
        <f t="shared" si="12"/>
        <v>100</v>
      </c>
      <c r="T47" s="774" t="s">
        <v>17</v>
      </c>
      <c r="U47" s="775">
        <f t="shared" si="13"/>
        <v>100</v>
      </c>
      <c r="V47" s="774" t="s">
        <v>17</v>
      </c>
      <c r="W47" s="775">
        <f t="shared" si="14"/>
        <v>100</v>
      </c>
      <c r="X47" s="1816"/>
      <c r="Y47" s="322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224" t="str">
        <f>A48</f>
        <v>成交单价（元/平方米）</v>
      </c>
      <c r="Q48" s="3213"/>
      <c r="R48" s="3214">
        <f>E48</f>
        <v>0</v>
      </c>
      <c r="S48" s="3214"/>
      <c r="T48" s="3214">
        <f>G48</f>
        <v>0</v>
      </c>
      <c r="U48" s="3214"/>
      <c r="V48" s="3214">
        <f>I48</f>
        <v>0</v>
      </c>
      <c r="W48" s="3214"/>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224" t="str">
        <f>A49</f>
        <v>比较价值（元/平方米）</v>
      </c>
      <c r="Q49" s="3213"/>
      <c r="R49" s="3214" t="e">
        <f>IF(F1="售价",ROUND(PRODUCT(R48,AA7:AA47),0),ROUND(PRODUCT(R48,AA7:AA47),1))</f>
        <v>#DIV/0!</v>
      </c>
      <c r="S49" s="3214"/>
      <c r="T49" s="3214" t="e">
        <f>IF(F1="售价",ROUND(PRODUCT(T48,AB7:AB47),0),ROUND(PRODUCT(T48,AB7:AB47),1))</f>
        <v>#DIV/0!</v>
      </c>
      <c r="U49" s="3214"/>
      <c r="V49" s="3214" t="e">
        <f>IF(F1="售价",ROUND(PRODUCT(V48,AC7:AC47),0),ROUND(PRODUCT(V48,AC7:AC47),1))</f>
        <v>#DIV/0!</v>
      </c>
      <c r="W49" s="3214"/>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56" t="str">
        <f>A50</f>
        <v>估价对象XX用房的比较价值（楼面单价，元/平方米）</v>
      </c>
      <c r="Q50" s="3257"/>
      <c r="R50" s="3258" t="e">
        <f>IF(F1="售价",ROUND(AVERAGE(R49:V49),0),ROUND(AVERAGE(R49:V49),1))</f>
        <v>#DIV/0!</v>
      </c>
      <c r="S50" s="3258"/>
      <c r="T50" s="3258"/>
      <c r="U50" s="3258"/>
      <c r="V50" s="3258"/>
      <c r="W50" s="3258"/>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IF(C2="——",ROUND(C43*D3/10000,0),ROUND(C43*D3/10000,0)-D2)</f>
        <v>#DIV/0!</v>
      </c>
      <c r="C2" s="2592"/>
      <c r="D2" s="1127"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2332</v>
      </c>
      <c r="B3" s="609" t="e">
        <f ca="1">IF(C2="——",C43,ROUND(B2*10000/D3,0))</f>
        <v>#DIV/0!</v>
      </c>
      <c r="C3" s="400" t="s">
        <v>2647</v>
      </c>
      <c r="D3" s="399">
        <f>IF(D1="",'数据-汇总表'!E3,SUMIF('数据-汇总表'!$C19:$C33,D1,'数据-汇总表'!$E19:$E33))</f>
        <v>3096.45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5" t="s">
        <v>2563</v>
      </c>
      <c r="Q15" s="1813" t="str">
        <f t="shared" si="6"/>
        <v>产业集聚程度</v>
      </c>
      <c r="R15" s="774" t="s">
        <v>17</v>
      </c>
      <c r="S15" s="775">
        <f t="shared" si="0"/>
        <v>100</v>
      </c>
      <c r="T15" s="774" t="s">
        <v>17</v>
      </c>
      <c r="U15" s="775">
        <f t="shared" si="1"/>
        <v>100</v>
      </c>
      <c r="V15" s="774" t="s">
        <v>17</v>
      </c>
      <c r="W15" s="775">
        <f t="shared" si="2"/>
        <v>100</v>
      </c>
      <c r="X15" s="1816"/>
      <c r="Y15" s="3215"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6"/>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6"/>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216"/>
      <c r="Q18" s="1813"/>
      <c r="R18" s="774"/>
      <c r="S18" s="775"/>
      <c r="T18" s="774"/>
      <c r="U18" s="775"/>
      <c r="V18" s="774"/>
      <c r="W18" s="775"/>
      <c r="X18" s="1816"/>
      <c r="Y18" s="3216"/>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6"/>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216"/>
      <c r="Q20" s="1813"/>
      <c r="R20" s="774"/>
      <c r="S20" s="775"/>
      <c r="T20" s="774"/>
      <c r="U20" s="775"/>
      <c r="V20" s="774"/>
      <c r="W20" s="775"/>
      <c r="X20" s="1816"/>
      <c r="Y20" s="3216"/>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6"/>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216"/>
      <c r="Q22" s="1813"/>
      <c r="R22" s="774"/>
      <c r="S22" s="775"/>
      <c r="T22" s="774"/>
      <c r="U22" s="775"/>
      <c r="V22" s="774"/>
      <c r="W22" s="775"/>
      <c r="X22" s="1816"/>
      <c r="Y22" s="3216"/>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6"/>
      <c r="Q23" s="1813" t="str">
        <f>B23</f>
        <v>环境质量</v>
      </c>
      <c r="R23" s="774" t="s">
        <v>17</v>
      </c>
      <c r="S23" s="775">
        <f>F23</f>
        <v>100</v>
      </c>
      <c r="T23" s="774" t="s">
        <v>17</v>
      </c>
      <c r="U23" s="775">
        <f>H23</f>
        <v>100</v>
      </c>
      <c r="V23" s="774" t="s">
        <v>17</v>
      </c>
      <c r="W23" s="775">
        <f>J23</f>
        <v>100</v>
      </c>
      <c r="X23" s="1816"/>
      <c r="Y23" s="321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216"/>
      <c r="Q24" s="1813"/>
      <c r="R24" s="774"/>
      <c r="S24" s="775"/>
      <c r="T24" s="774"/>
      <c r="U24" s="775"/>
      <c r="V24" s="774"/>
      <c r="W24" s="775"/>
      <c r="X24" s="1816"/>
      <c r="Y24" s="321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6"/>
      <c r="Q25" s="1813">
        <f>B25</f>
        <v>111</v>
      </c>
      <c r="R25" s="774" t="s">
        <v>17</v>
      </c>
      <c r="S25" s="775">
        <f>F25</f>
        <v>100</v>
      </c>
      <c r="T25" s="774" t="s">
        <v>17</v>
      </c>
      <c r="U25" s="775">
        <f>H25</f>
        <v>100</v>
      </c>
      <c r="V25" s="774" t="s">
        <v>17</v>
      </c>
      <c r="W25" s="775">
        <f>J25</f>
        <v>100</v>
      </c>
      <c r="X25" s="1816"/>
      <c r="Y25" s="321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6"/>
      <c r="Q26" s="1813">
        <f t="shared" ref="Q26:Q40" si="11">B26</f>
        <v>111</v>
      </c>
      <c r="R26" s="774" t="s">
        <v>17</v>
      </c>
      <c r="S26" s="775">
        <f>F26</f>
        <v>100</v>
      </c>
      <c r="T26" s="774" t="s">
        <v>17</v>
      </c>
      <c r="U26" s="775">
        <f>H26</f>
        <v>100</v>
      </c>
      <c r="V26" s="774" t="s">
        <v>17</v>
      </c>
      <c r="W26" s="775">
        <f>J26</f>
        <v>100</v>
      </c>
      <c r="X26" s="1816"/>
      <c r="Y26" s="321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6"/>
      <c r="Q27" s="1798">
        <f t="shared" si="11"/>
        <v>111</v>
      </c>
      <c r="R27" s="770" t="s">
        <v>17</v>
      </c>
      <c r="S27" s="771">
        <f>F27</f>
        <v>100</v>
      </c>
      <c r="T27" s="770" t="s">
        <v>17</v>
      </c>
      <c r="U27" s="771">
        <f>H27</f>
        <v>100</v>
      </c>
      <c r="V27" s="770" t="s">
        <v>17</v>
      </c>
      <c r="W27" s="771">
        <f>J27</f>
        <v>100</v>
      </c>
      <c r="X27" s="772"/>
      <c r="Y27" s="321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6"/>
      <c r="Q28" s="1813">
        <f t="shared" si="11"/>
        <v>111</v>
      </c>
      <c r="R28" s="774" t="s">
        <v>17</v>
      </c>
      <c r="S28" s="775">
        <f t="shared" ref="S28:S40" si="12">F28</f>
        <v>100</v>
      </c>
      <c r="T28" s="774" t="s">
        <v>17</v>
      </c>
      <c r="U28" s="775">
        <f t="shared" ref="U28:U40" si="13">H28</f>
        <v>100</v>
      </c>
      <c r="V28" s="774" t="s">
        <v>17</v>
      </c>
      <c r="W28" s="775">
        <f t="shared" ref="W28:W40" si="14">J28</f>
        <v>100</v>
      </c>
      <c r="X28" s="1816"/>
      <c r="Y28" s="3216"/>
      <c r="Z28" s="1817">
        <f t="shared" ref="Z28:Z40" si="15">Q28</f>
        <v>111</v>
      </c>
      <c r="AA28" s="1814">
        <f t="shared" si="3"/>
        <v>1</v>
      </c>
      <c r="AB28" s="1814">
        <f t="shared" si="4"/>
        <v>1</v>
      </c>
      <c r="AC28" s="1814">
        <f t="shared" si="5"/>
        <v>1</v>
      </c>
    </row>
    <row r="29" spans="1:29" ht="28.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71" t="s">
        <v>2568</v>
      </c>
      <c r="Q29" s="1813" t="str">
        <f t="shared" si="11"/>
        <v>建筑类型</v>
      </c>
      <c r="R29" s="774" t="s">
        <v>17</v>
      </c>
      <c r="S29" s="775">
        <f t="shared" si="12"/>
        <v>100</v>
      </c>
      <c r="T29" s="774" t="s">
        <v>17</v>
      </c>
      <c r="U29" s="775">
        <f t="shared" si="13"/>
        <v>100</v>
      </c>
      <c r="V29" s="774" t="s">
        <v>17</v>
      </c>
      <c r="W29" s="775">
        <f t="shared" si="14"/>
        <v>100</v>
      </c>
      <c r="X29" s="1816"/>
      <c r="Y29" s="3220"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0"/>
      <c r="Q30" s="776" t="str">
        <f t="shared" si="11"/>
        <v>项目建筑规模</v>
      </c>
      <c r="R30" s="777" t="s">
        <v>17</v>
      </c>
      <c r="S30" s="778" t="e">
        <f t="shared" si="12"/>
        <v>#N/A</v>
      </c>
      <c r="T30" s="777" t="s">
        <v>17</v>
      </c>
      <c r="U30" s="778" t="e">
        <f t="shared" si="13"/>
        <v>#N/A</v>
      </c>
      <c r="V30" s="777" t="s">
        <v>17</v>
      </c>
      <c r="W30" s="778" t="e">
        <f t="shared" si="14"/>
        <v>#N/A</v>
      </c>
      <c r="X30" s="779"/>
      <c r="Y30" s="3220"/>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0"/>
      <c r="Q31" s="1813" t="str">
        <f t="shared" si="11"/>
        <v>建筑结构</v>
      </c>
      <c r="R31" s="774" t="s">
        <v>17</v>
      </c>
      <c r="S31" s="775">
        <f t="shared" si="12"/>
        <v>100</v>
      </c>
      <c r="T31" s="774" t="s">
        <v>17</v>
      </c>
      <c r="U31" s="775">
        <f t="shared" si="13"/>
        <v>100</v>
      </c>
      <c r="V31" s="774" t="s">
        <v>17</v>
      </c>
      <c r="W31" s="775">
        <f t="shared" si="14"/>
        <v>100</v>
      </c>
      <c r="X31" s="1816"/>
      <c r="Y31" s="3220"/>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0"/>
      <c r="Q32" s="1813" t="str">
        <f t="shared" si="11"/>
        <v>公共部分装修</v>
      </c>
      <c r="R32" s="774" t="s">
        <v>17</v>
      </c>
      <c r="S32" s="775">
        <f t="shared" si="12"/>
        <v>100</v>
      </c>
      <c r="T32" s="774" t="s">
        <v>17</v>
      </c>
      <c r="U32" s="775">
        <f t="shared" si="13"/>
        <v>100</v>
      </c>
      <c r="V32" s="774" t="s">
        <v>17</v>
      </c>
      <c r="W32" s="775">
        <f t="shared" si="14"/>
        <v>100</v>
      </c>
      <c r="X32" s="1816"/>
      <c r="Y32" s="3220"/>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0"/>
      <c r="Q33" s="1813" t="str">
        <f t="shared" si="11"/>
        <v>成新度</v>
      </c>
      <c r="R33" s="774" t="s">
        <v>17</v>
      </c>
      <c r="S33" s="775" t="e">
        <f t="shared" si="12"/>
        <v>#N/A</v>
      </c>
      <c r="T33" s="774" t="s">
        <v>17</v>
      </c>
      <c r="U33" s="775" t="e">
        <f t="shared" si="13"/>
        <v>#N/A</v>
      </c>
      <c r="V33" s="774" t="s">
        <v>17</v>
      </c>
      <c r="W33" s="775" t="e">
        <f t="shared" si="14"/>
        <v>#N/A</v>
      </c>
      <c r="X33" s="1816"/>
      <c r="Y33" s="3220"/>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0"/>
      <c r="Q34" s="1798" t="str">
        <f t="shared" si="11"/>
        <v>物业管理</v>
      </c>
      <c r="R34" s="770" t="s">
        <v>17</v>
      </c>
      <c r="S34" s="771">
        <f t="shared" si="12"/>
        <v>100</v>
      </c>
      <c r="T34" s="770" t="s">
        <v>17</v>
      </c>
      <c r="U34" s="771">
        <f t="shared" si="13"/>
        <v>100</v>
      </c>
      <c r="V34" s="770" t="s">
        <v>17</v>
      </c>
      <c r="W34" s="771">
        <f t="shared" si="14"/>
        <v>100</v>
      </c>
      <c r="X34" s="772"/>
      <c r="Y34" s="3220"/>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0" t="s">
        <v>2568</v>
      </c>
      <c r="Q35" s="1813" t="str">
        <f t="shared" si="11"/>
        <v>市政基础设施</v>
      </c>
      <c r="R35" s="774" t="s">
        <v>17</v>
      </c>
      <c r="S35" s="775">
        <f t="shared" si="12"/>
        <v>100</v>
      </c>
      <c r="T35" s="774" t="s">
        <v>17</v>
      </c>
      <c r="U35" s="775">
        <f t="shared" si="13"/>
        <v>100</v>
      </c>
      <c r="V35" s="774" t="s">
        <v>17</v>
      </c>
      <c r="W35" s="775">
        <f t="shared" si="14"/>
        <v>100</v>
      </c>
      <c r="X35" s="1816"/>
      <c r="Y35" s="3220"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0"/>
      <c r="Q36" s="1813" t="str">
        <f t="shared" si="11"/>
        <v>内部装修</v>
      </c>
      <c r="R36" s="774" t="s">
        <v>17</v>
      </c>
      <c r="S36" s="775">
        <f t="shared" si="12"/>
        <v>100</v>
      </c>
      <c r="T36" s="774" t="s">
        <v>17</v>
      </c>
      <c r="U36" s="775">
        <f t="shared" si="13"/>
        <v>100</v>
      </c>
      <c r="V36" s="774" t="s">
        <v>17</v>
      </c>
      <c r="W36" s="775">
        <f t="shared" si="14"/>
        <v>100</v>
      </c>
      <c r="X36" s="1816"/>
      <c r="Y36" s="3220"/>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0"/>
      <c r="Q37" s="1813" t="str">
        <f t="shared" si="11"/>
        <v>内部装修状况</v>
      </c>
      <c r="R37" s="774" t="s">
        <v>17</v>
      </c>
      <c r="S37" s="775">
        <f t="shared" si="12"/>
        <v>100</v>
      </c>
      <c r="T37" s="774" t="s">
        <v>17</v>
      </c>
      <c r="U37" s="775">
        <f t="shared" si="13"/>
        <v>100</v>
      </c>
      <c r="V37" s="774" t="s">
        <v>17</v>
      </c>
      <c r="W37" s="775">
        <f t="shared" si="14"/>
        <v>100</v>
      </c>
      <c r="X37" s="1816"/>
      <c r="Y37" s="3220"/>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0"/>
      <c r="Q38" s="776">
        <f t="shared" si="11"/>
        <v>111</v>
      </c>
      <c r="R38" s="777" t="s">
        <v>17</v>
      </c>
      <c r="S38" s="778">
        <f t="shared" si="12"/>
        <v>100</v>
      </c>
      <c r="T38" s="777" t="s">
        <v>17</v>
      </c>
      <c r="U38" s="778">
        <f t="shared" si="13"/>
        <v>100</v>
      </c>
      <c r="V38" s="777" t="s">
        <v>17</v>
      </c>
      <c r="W38" s="778">
        <f t="shared" si="14"/>
        <v>100</v>
      </c>
      <c r="X38" s="779"/>
      <c r="Y38" s="3220"/>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0"/>
      <c r="Q39" s="1813">
        <f t="shared" si="11"/>
        <v>111</v>
      </c>
      <c r="R39" s="774" t="s">
        <v>17</v>
      </c>
      <c r="S39" s="775">
        <f t="shared" si="12"/>
        <v>100</v>
      </c>
      <c r="T39" s="774" t="s">
        <v>17</v>
      </c>
      <c r="U39" s="775">
        <f t="shared" si="13"/>
        <v>100</v>
      </c>
      <c r="V39" s="774" t="s">
        <v>17</v>
      </c>
      <c r="W39" s="775">
        <f t="shared" si="14"/>
        <v>100</v>
      </c>
      <c r="X39" s="1816"/>
      <c r="Y39" s="3220"/>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1"/>
      <c r="Q40" s="1813">
        <f t="shared" si="11"/>
        <v>111</v>
      </c>
      <c r="R40" s="774" t="s">
        <v>17</v>
      </c>
      <c r="S40" s="775">
        <f t="shared" si="12"/>
        <v>100</v>
      </c>
      <c r="T40" s="774" t="s">
        <v>17</v>
      </c>
      <c r="U40" s="775">
        <f t="shared" si="13"/>
        <v>100</v>
      </c>
      <c r="V40" s="774" t="s">
        <v>17</v>
      </c>
      <c r="W40" s="775">
        <f t="shared" si="14"/>
        <v>100</v>
      </c>
      <c r="X40" s="1816"/>
      <c r="Y40" s="322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213" t="str">
        <f>A41</f>
        <v>成交单价（元/平方米）</v>
      </c>
      <c r="Q41" s="3213"/>
      <c r="R41" s="3214">
        <f>E41</f>
        <v>0</v>
      </c>
      <c r="S41" s="3214"/>
      <c r="T41" s="3214">
        <f>G41</f>
        <v>0</v>
      </c>
      <c r="U41" s="3214"/>
      <c r="V41" s="3214">
        <f>I41</f>
        <v>0</v>
      </c>
      <c r="W41" s="3214"/>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213" t="str">
        <f>A42</f>
        <v>比较价值（元/平方米）</v>
      </c>
      <c r="Q42" s="3213"/>
      <c r="R42" s="3214" t="e">
        <f>IF(F1="售价",ROUND(PRODUCT(R41,AA7:AA40),0),ROUND(PRODUCT(R41,AA7:AA40),1))</f>
        <v>#DIV/0!</v>
      </c>
      <c r="S42" s="3214"/>
      <c r="T42" s="3214" t="e">
        <f>IF(F1="售价",ROUND(PRODUCT(T41,AB7:AB40),0),ROUND(PRODUCT(T41,AB7:AB40),1))</f>
        <v>#DIV/0!</v>
      </c>
      <c r="U42" s="3214"/>
      <c r="V42" s="3214" t="e">
        <f>IF(F1="售价",ROUND(PRODUCT(V41,AC7:AC40),0),ROUND(PRODUCT(V41,AC7:AC40),1))</f>
        <v>#DIV/0!</v>
      </c>
      <c r="W42" s="3214"/>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210" t="str">
        <f>A43</f>
        <v>估价对象XX用房的比较价值（楼面单价，元/平方米）</v>
      </c>
      <c r="Q43" s="3211"/>
      <c r="R43" s="3212" t="e">
        <f>IF(F1="售价",ROUND(AVERAGE(R42:V42),0),ROUND(AVERAGE(R42:V42),1))</f>
        <v>#DIV/0!</v>
      </c>
      <c r="S43" s="3212"/>
      <c r="T43" s="3212"/>
      <c r="U43" s="3212"/>
      <c r="V43" s="3212"/>
      <c r="W43" s="321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2330</v>
      </c>
      <c r="B2" s="1421" t="e">
        <f ca="1">IF(C2="——",IF(B37="元/平方米",ROUND(C39*D3/10000,0),ROUND(F3*C39/10000,0)),IF(B37="元/平方米",ROUND(C39*D3/10000,0),ROUND(F3*C39/10000,0))-D2)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2332</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49" t="s">
        <v>2552</v>
      </c>
      <c r="Q7" s="3251"/>
      <c r="R7" s="770" t="s">
        <v>17</v>
      </c>
      <c r="S7" s="771">
        <f t="shared" ref="S7:S14" si="0">F7</f>
        <v>0</v>
      </c>
      <c r="T7" s="770" t="s">
        <v>17</v>
      </c>
      <c r="U7" s="771">
        <f t="shared" ref="U7:U14" si="1">H7</f>
        <v>0</v>
      </c>
      <c r="V7" s="770" t="s">
        <v>17</v>
      </c>
      <c r="W7" s="771">
        <f t="shared" ref="W7:W14"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3" t="s">
        <v>2558</v>
      </c>
      <c r="Q9" s="1798" t="str">
        <f t="shared" ref="Q9:Q14" si="6">B9</f>
        <v>用途</v>
      </c>
      <c r="R9" s="770" t="s">
        <v>17</v>
      </c>
      <c r="S9" s="771">
        <f t="shared" si="0"/>
        <v>100</v>
      </c>
      <c r="T9" s="770" t="s">
        <v>17</v>
      </c>
      <c r="U9" s="771">
        <f t="shared" si="1"/>
        <v>100</v>
      </c>
      <c r="V9" s="770" t="s">
        <v>17</v>
      </c>
      <c r="W9" s="771">
        <f t="shared" si="2"/>
        <v>100</v>
      </c>
      <c r="X9" s="772"/>
      <c r="Y9" s="3034"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3"/>
      <c r="Q11" s="1798">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5" t="s">
        <v>2563</v>
      </c>
      <c r="Q14" s="1813" t="str">
        <f t="shared" si="6"/>
        <v>交通便捷度</v>
      </c>
      <c r="R14" s="774" t="s">
        <v>17</v>
      </c>
      <c r="S14" s="775">
        <f t="shared" si="0"/>
        <v>100</v>
      </c>
      <c r="T14" s="774" t="s">
        <v>17</v>
      </c>
      <c r="U14" s="775">
        <f t="shared" si="1"/>
        <v>100</v>
      </c>
      <c r="V14" s="774" t="s">
        <v>17</v>
      </c>
      <c r="W14" s="775">
        <f t="shared" si="2"/>
        <v>100</v>
      </c>
      <c r="X14" s="1816"/>
      <c r="Y14" s="3215"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6"/>
      <c r="Q15" s="1813"/>
      <c r="R15" s="774"/>
      <c r="S15" s="775"/>
      <c r="T15" s="774"/>
      <c r="U15" s="775"/>
      <c r="V15" s="774"/>
      <c r="W15" s="775"/>
      <c r="X15" s="1816"/>
      <c r="Y15" s="3216"/>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6"/>
      <c r="Q16" s="1813" t="str">
        <f>B16</f>
        <v>公共配套设施</v>
      </c>
      <c r="R16" s="774" t="s">
        <v>17</v>
      </c>
      <c r="S16" s="775">
        <f>F16</f>
        <v>100</v>
      </c>
      <c r="T16" s="774" t="s">
        <v>17</v>
      </c>
      <c r="U16" s="775">
        <f>H16</f>
        <v>100</v>
      </c>
      <c r="V16" s="774" t="s">
        <v>17</v>
      </c>
      <c r="W16" s="775">
        <f>J16</f>
        <v>100</v>
      </c>
      <c r="X16" s="1816"/>
      <c r="Y16" s="321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216"/>
      <c r="Q17" s="1813"/>
      <c r="R17" s="774"/>
      <c r="S17" s="775"/>
      <c r="T17" s="774"/>
      <c r="U17" s="775"/>
      <c r="V17" s="774"/>
      <c r="W17" s="775"/>
      <c r="X17" s="1816"/>
      <c r="Y17" s="3216"/>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6"/>
      <c r="Q18" s="1813" t="str">
        <f>B18</f>
        <v>基础设施水平</v>
      </c>
      <c r="R18" s="774" t="s">
        <v>17</v>
      </c>
      <c r="S18" s="775">
        <f>F18</f>
        <v>100</v>
      </c>
      <c r="T18" s="774" t="s">
        <v>17</v>
      </c>
      <c r="U18" s="775">
        <f>H18</f>
        <v>100</v>
      </c>
      <c r="V18" s="774" t="s">
        <v>17</v>
      </c>
      <c r="W18" s="775">
        <f>J18</f>
        <v>100</v>
      </c>
      <c r="X18" s="1816"/>
      <c r="Y18" s="321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216"/>
      <c r="Q19" s="1813"/>
      <c r="R19" s="774"/>
      <c r="S19" s="775"/>
      <c r="T19" s="774"/>
      <c r="U19" s="775"/>
      <c r="V19" s="774"/>
      <c r="W19" s="775"/>
      <c r="X19" s="1816"/>
      <c r="Y19" s="3216"/>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6"/>
      <c r="Q20" s="1813" t="str">
        <f>B20</f>
        <v>自然及人文环境</v>
      </c>
      <c r="R20" s="774" t="s">
        <v>17</v>
      </c>
      <c r="S20" s="775">
        <f>F20</f>
        <v>100</v>
      </c>
      <c r="T20" s="774" t="s">
        <v>17</v>
      </c>
      <c r="U20" s="775">
        <f>H20</f>
        <v>100</v>
      </c>
      <c r="V20" s="774" t="s">
        <v>17</v>
      </c>
      <c r="W20" s="775">
        <f>J20</f>
        <v>100</v>
      </c>
      <c r="X20" s="1816"/>
      <c r="Y20" s="321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6"/>
      <c r="Q21" s="1813"/>
      <c r="R21" s="774"/>
      <c r="S21" s="775"/>
      <c r="T21" s="774"/>
      <c r="U21" s="775"/>
      <c r="V21" s="774"/>
      <c r="W21" s="775"/>
      <c r="X21" s="1816"/>
      <c r="Y21" s="3216"/>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6"/>
      <c r="Q22" s="1813" t="str">
        <f>B22</f>
        <v>楼层</v>
      </c>
      <c r="R22" s="774" t="s">
        <v>17</v>
      </c>
      <c r="S22" s="775">
        <f>F22</f>
        <v>100</v>
      </c>
      <c r="T22" s="774" t="s">
        <v>17</v>
      </c>
      <c r="U22" s="775">
        <f>H22</f>
        <v>100</v>
      </c>
      <c r="V22" s="774" t="s">
        <v>17</v>
      </c>
      <c r="W22" s="775">
        <f>J22</f>
        <v>100</v>
      </c>
      <c r="X22" s="1816"/>
      <c r="Y22" s="321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6"/>
      <c r="Q23" s="1813">
        <f>B23</f>
        <v>111</v>
      </c>
      <c r="R23" s="774" t="s">
        <v>17</v>
      </c>
      <c r="S23" s="775">
        <f>F23</f>
        <v>100</v>
      </c>
      <c r="T23" s="774" t="s">
        <v>17</v>
      </c>
      <c r="U23" s="775">
        <f>H23</f>
        <v>100</v>
      </c>
      <c r="V23" s="774" t="s">
        <v>17</v>
      </c>
      <c r="W23" s="775">
        <f>J23</f>
        <v>100</v>
      </c>
      <c r="X23" s="1816"/>
      <c r="Y23" s="321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6"/>
      <c r="Q24" s="1813">
        <f t="shared" ref="Q24:Q36" si="11">B24</f>
        <v>111</v>
      </c>
      <c r="R24" s="774" t="s">
        <v>17</v>
      </c>
      <c r="S24" s="775">
        <f>F24</f>
        <v>100</v>
      </c>
      <c r="T24" s="774" t="s">
        <v>17</v>
      </c>
      <c r="U24" s="775">
        <f>H24</f>
        <v>100</v>
      </c>
      <c r="V24" s="774" t="s">
        <v>17</v>
      </c>
      <c r="W24" s="775">
        <f>J24</f>
        <v>100</v>
      </c>
      <c r="X24" s="1816"/>
      <c r="Y24" s="321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6"/>
      <c r="Q25" s="1798">
        <f t="shared" si="11"/>
        <v>111</v>
      </c>
      <c r="R25" s="770" t="s">
        <v>17</v>
      </c>
      <c r="S25" s="771">
        <f>F25</f>
        <v>100</v>
      </c>
      <c r="T25" s="770" t="s">
        <v>17</v>
      </c>
      <c r="U25" s="771">
        <f>H25</f>
        <v>100</v>
      </c>
      <c r="V25" s="770" t="s">
        <v>17</v>
      </c>
      <c r="W25" s="771">
        <f>J25</f>
        <v>100</v>
      </c>
      <c r="X25" s="772"/>
      <c r="Y25" s="3216"/>
      <c r="Z25" s="55">
        <f>Q25</f>
        <v>111</v>
      </c>
      <c r="AA25" s="1814">
        <f>D25/F25</f>
        <v>1</v>
      </c>
      <c r="AB25" s="1814">
        <f>D25/H25</f>
        <v>1</v>
      </c>
      <c r="AC25" s="1814">
        <f>D25/J25</f>
        <v>1</v>
      </c>
    </row>
    <row r="26" spans="1:29" ht="28.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1"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0"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0"/>
      <c r="Q27" s="776" t="str">
        <f t="shared" si="11"/>
        <v>项目停车位配比</v>
      </c>
      <c r="R27" s="777" t="s">
        <v>17</v>
      </c>
      <c r="S27" s="778">
        <f t="shared" si="12"/>
        <v>100</v>
      </c>
      <c r="T27" s="777" t="s">
        <v>17</v>
      </c>
      <c r="U27" s="778">
        <f t="shared" si="13"/>
        <v>100</v>
      </c>
      <c r="V27" s="777" t="s">
        <v>17</v>
      </c>
      <c r="W27" s="778">
        <f t="shared" si="14"/>
        <v>100</v>
      </c>
      <c r="X27" s="779"/>
      <c r="Y27" s="3220"/>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0"/>
      <c r="Q28" s="1813" t="str">
        <f t="shared" si="11"/>
        <v>公共部分装修</v>
      </c>
      <c r="R28" s="774" t="s">
        <v>17</v>
      </c>
      <c r="S28" s="775">
        <f t="shared" si="12"/>
        <v>100</v>
      </c>
      <c r="T28" s="774" t="s">
        <v>17</v>
      </c>
      <c r="U28" s="775">
        <f t="shared" si="13"/>
        <v>100</v>
      </c>
      <c r="V28" s="774" t="s">
        <v>17</v>
      </c>
      <c r="W28" s="775">
        <f t="shared" si="14"/>
        <v>100</v>
      </c>
      <c r="X28" s="1816"/>
      <c r="Y28" s="3220"/>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0"/>
      <c r="Q29" s="1813" t="str">
        <f t="shared" si="11"/>
        <v>成新率</v>
      </c>
      <c r="R29" s="774" t="s">
        <v>17</v>
      </c>
      <c r="S29" s="775" t="e">
        <f t="shared" si="12"/>
        <v>#N/A</v>
      </c>
      <c r="T29" s="774" t="s">
        <v>17</v>
      </c>
      <c r="U29" s="775" t="e">
        <f t="shared" si="13"/>
        <v>#N/A</v>
      </c>
      <c r="V29" s="774" t="s">
        <v>17</v>
      </c>
      <c r="W29" s="775" t="e">
        <f t="shared" si="14"/>
        <v>#N/A</v>
      </c>
      <c r="X29" s="1816"/>
      <c r="Y29" s="3220"/>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0"/>
      <c r="Q30" s="1813" t="str">
        <f t="shared" si="11"/>
        <v>物业等级</v>
      </c>
      <c r="R30" s="774" t="s">
        <v>17</v>
      </c>
      <c r="S30" s="775">
        <f t="shared" si="12"/>
        <v>100</v>
      </c>
      <c r="T30" s="774" t="s">
        <v>17</v>
      </c>
      <c r="U30" s="775">
        <f t="shared" si="13"/>
        <v>100</v>
      </c>
      <c r="V30" s="774" t="s">
        <v>17</v>
      </c>
      <c r="W30" s="775">
        <f t="shared" si="14"/>
        <v>100</v>
      </c>
      <c r="X30" s="1816"/>
      <c r="Y30" s="3220"/>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0"/>
      <c r="Q31" s="1798" t="str">
        <f t="shared" si="11"/>
        <v>停车位面积</v>
      </c>
      <c r="R31" s="770" t="s">
        <v>17</v>
      </c>
      <c r="S31" s="771" t="e">
        <f t="shared" si="12"/>
        <v>#N/A</v>
      </c>
      <c r="T31" s="770" t="s">
        <v>17</v>
      </c>
      <c r="U31" s="771" t="e">
        <f t="shared" si="13"/>
        <v>#N/A</v>
      </c>
      <c r="V31" s="770" t="s">
        <v>17</v>
      </c>
      <c r="W31" s="771" t="e">
        <f t="shared" si="14"/>
        <v>#N/A</v>
      </c>
      <c r="X31" s="772"/>
      <c r="Y31" s="3220"/>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0" t="s">
        <v>2568</v>
      </c>
      <c r="Q32" s="1813" t="str">
        <f t="shared" si="11"/>
        <v>车位类型</v>
      </c>
      <c r="R32" s="774" t="s">
        <v>17</v>
      </c>
      <c r="S32" s="775">
        <f t="shared" si="12"/>
        <v>100</v>
      </c>
      <c r="T32" s="774" t="s">
        <v>17</v>
      </c>
      <c r="U32" s="775">
        <f t="shared" si="13"/>
        <v>100</v>
      </c>
      <c r="V32" s="774" t="s">
        <v>17</v>
      </c>
      <c r="W32" s="775">
        <f t="shared" si="14"/>
        <v>100</v>
      </c>
      <c r="X32" s="1816"/>
      <c r="Y32" s="3220"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0"/>
      <c r="Q33" s="1813" t="str">
        <f t="shared" si="11"/>
        <v>是否直接入户</v>
      </c>
      <c r="R33" s="774" t="s">
        <v>17</v>
      </c>
      <c r="S33" s="775">
        <f t="shared" si="12"/>
        <v>100</v>
      </c>
      <c r="T33" s="774" t="s">
        <v>17</v>
      </c>
      <c r="U33" s="775">
        <f t="shared" si="13"/>
        <v>100</v>
      </c>
      <c r="V33" s="774" t="s">
        <v>17</v>
      </c>
      <c r="W33" s="775">
        <f t="shared" si="14"/>
        <v>100</v>
      </c>
      <c r="X33" s="1816"/>
      <c r="Y33" s="322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0"/>
      <c r="Q34" s="1813">
        <f t="shared" si="11"/>
        <v>111</v>
      </c>
      <c r="R34" s="774" t="s">
        <v>17</v>
      </c>
      <c r="S34" s="775">
        <f t="shared" si="12"/>
        <v>100</v>
      </c>
      <c r="T34" s="774" t="s">
        <v>17</v>
      </c>
      <c r="U34" s="775">
        <f t="shared" si="13"/>
        <v>100</v>
      </c>
      <c r="V34" s="774" t="s">
        <v>17</v>
      </c>
      <c r="W34" s="775">
        <f t="shared" si="14"/>
        <v>100</v>
      </c>
      <c r="X34" s="1816"/>
      <c r="Y34" s="322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0"/>
      <c r="Q35" s="776">
        <f t="shared" si="11"/>
        <v>111</v>
      </c>
      <c r="R35" s="777" t="s">
        <v>17</v>
      </c>
      <c r="S35" s="778">
        <f t="shared" si="12"/>
        <v>100</v>
      </c>
      <c r="T35" s="777" t="s">
        <v>17</v>
      </c>
      <c r="U35" s="778">
        <f t="shared" si="13"/>
        <v>100</v>
      </c>
      <c r="V35" s="777" t="s">
        <v>17</v>
      </c>
      <c r="W35" s="778">
        <f t="shared" si="14"/>
        <v>100</v>
      </c>
      <c r="X35" s="779"/>
      <c r="Y35" s="322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0"/>
      <c r="Q36" s="1813">
        <f t="shared" si="11"/>
        <v>111</v>
      </c>
      <c r="R36" s="774" t="s">
        <v>17</v>
      </c>
      <c r="S36" s="775">
        <f t="shared" si="12"/>
        <v>100</v>
      </c>
      <c r="T36" s="774" t="s">
        <v>17</v>
      </c>
      <c r="U36" s="775">
        <f t="shared" si="13"/>
        <v>100</v>
      </c>
      <c r="V36" s="774" t="s">
        <v>17</v>
      </c>
      <c r="W36" s="775">
        <f t="shared" si="14"/>
        <v>100</v>
      </c>
      <c r="X36" s="1816"/>
      <c r="Y36" s="3220"/>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213" t="str">
        <f>A37</f>
        <v>成交单价</v>
      </c>
      <c r="Q37" s="3213"/>
      <c r="R37" s="3214">
        <f>E37</f>
        <v>0</v>
      </c>
      <c r="S37" s="3214"/>
      <c r="T37" s="3214">
        <f>G37</f>
        <v>0</v>
      </c>
      <c r="U37" s="3214"/>
      <c r="V37" s="3214">
        <f>I37</f>
        <v>0</v>
      </c>
      <c r="W37" s="3214"/>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3" t="str">
        <f>A38</f>
        <v>比较价值（元/平方米）</v>
      </c>
      <c r="Q38" s="3213"/>
      <c r="R38" s="3214" t="e">
        <f>IF(F1="售价",ROUND(PRODUCT(R37,AA7:AA36),0),ROUND(PRODUCT(R37,AA7:AA36),1))</f>
        <v>#DIV/0!</v>
      </c>
      <c r="S38" s="3214"/>
      <c r="T38" s="3214" t="e">
        <f>IF(F1="售价",ROUND(PRODUCT(T37,AB7:AB36),0),ROUND(PRODUCT(T37,AB7:AB36),1))</f>
        <v>#DIV/0!</v>
      </c>
      <c r="U38" s="3214"/>
      <c r="V38" s="3214" t="e">
        <f>IF(F1="售价",ROUND(PRODUCT(V37,AC7:AC36),0),ROUND(PRODUCT(V37,AC7:AC36),1))</f>
        <v>#DIV/0!</v>
      </c>
      <c r="W38" s="3214"/>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210" t="str">
        <f>A39</f>
        <v>估价对象XX用房的比较价值（楼面单价，元/平方米）</v>
      </c>
      <c r="Q39" s="3211"/>
      <c r="R39" s="3212" t="e">
        <f>IF(F1="售价",ROUND(AVERAGE(R38:V38),0),ROUND(AVERAGE(R38:V38),1))</f>
        <v>#DIV/0!</v>
      </c>
      <c r="S39" s="3212"/>
      <c r="T39" s="3212"/>
      <c r="U39" s="3212"/>
      <c r="V39" s="3212"/>
      <c r="W39" s="321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IF(C2="——",ROUND(C37*D3/10000,0),ROUND(C37*D3/10000,0)-D2)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49" t="s">
        <v>2552</v>
      </c>
      <c r="Q7" s="3251"/>
      <c r="R7" s="770" t="s">
        <v>17</v>
      </c>
      <c r="S7" s="771">
        <f t="shared" ref="S7:S14" si="0">F7</f>
        <v>0</v>
      </c>
      <c r="T7" s="770" t="s">
        <v>17</v>
      </c>
      <c r="U7" s="771">
        <f t="shared" ref="U7:U14" si="1">H7</f>
        <v>0</v>
      </c>
      <c r="V7" s="770" t="s">
        <v>17</v>
      </c>
      <c r="W7" s="771">
        <f t="shared" ref="W7:W14"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3" t="s">
        <v>2558</v>
      </c>
      <c r="Q9" s="1798" t="str">
        <f t="shared" ref="Q9:Q14" si="6">B9</f>
        <v>用途</v>
      </c>
      <c r="R9" s="770" t="s">
        <v>17</v>
      </c>
      <c r="S9" s="771">
        <f t="shared" si="0"/>
        <v>100</v>
      </c>
      <c r="T9" s="770" t="s">
        <v>17</v>
      </c>
      <c r="U9" s="771">
        <f t="shared" si="1"/>
        <v>100</v>
      </c>
      <c r="V9" s="770" t="s">
        <v>17</v>
      </c>
      <c r="W9" s="771">
        <f t="shared" si="2"/>
        <v>100</v>
      </c>
      <c r="X9" s="772"/>
      <c r="Y9" s="3034"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3"/>
      <c r="Q11" s="1798">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5" t="s">
        <v>2563</v>
      </c>
      <c r="Q14" s="1813" t="str">
        <f t="shared" si="6"/>
        <v>交通便捷度</v>
      </c>
      <c r="R14" s="774" t="s">
        <v>17</v>
      </c>
      <c r="S14" s="775">
        <f t="shared" si="0"/>
        <v>100</v>
      </c>
      <c r="T14" s="774" t="s">
        <v>17</v>
      </c>
      <c r="U14" s="775">
        <f t="shared" si="1"/>
        <v>100</v>
      </c>
      <c r="V14" s="774" t="s">
        <v>17</v>
      </c>
      <c r="W14" s="775">
        <f t="shared" si="2"/>
        <v>100</v>
      </c>
      <c r="X14" s="1816"/>
      <c r="Y14" s="3215"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6"/>
      <c r="Q15" s="1813"/>
      <c r="R15" s="774"/>
      <c r="S15" s="775"/>
      <c r="T15" s="774"/>
      <c r="U15" s="775"/>
      <c r="V15" s="774"/>
      <c r="W15" s="775"/>
      <c r="X15" s="1816"/>
      <c r="Y15" s="3216"/>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6"/>
      <c r="Q16" s="1813" t="str">
        <f>B16</f>
        <v>公共配套设施</v>
      </c>
      <c r="R16" s="774" t="s">
        <v>17</v>
      </c>
      <c r="S16" s="775">
        <f>F16</f>
        <v>100</v>
      </c>
      <c r="T16" s="774" t="s">
        <v>17</v>
      </c>
      <c r="U16" s="775">
        <f>H16</f>
        <v>100</v>
      </c>
      <c r="V16" s="774" t="s">
        <v>17</v>
      </c>
      <c r="W16" s="775">
        <f>J16</f>
        <v>100</v>
      </c>
      <c r="X16" s="1816"/>
      <c r="Y16" s="321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216"/>
      <c r="Q17" s="1813"/>
      <c r="R17" s="774"/>
      <c r="S17" s="775"/>
      <c r="T17" s="774"/>
      <c r="U17" s="775"/>
      <c r="V17" s="774"/>
      <c r="W17" s="775"/>
      <c r="X17" s="1816"/>
      <c r="Y17" s="3216"/>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6"/>
      <c r="Q18" s="1813" t="str">
        <f>B18</f>
        <v>基础设施水平</v>
      </c>
      <c r="R18" s="774" t="s">
        <v>17</v>
      </c>
      <c r="S18" s="775">
        <f>F18</f>
        <v>100</v>
      </c>
      <c r="T18" s="774" t="s">
        <v>17</v>
      </c>
      <c r="U18" s="775">
        <f>H18</f>
        <v>100</v>
      </c>
      <c r="V18" s="774" t="s">
        <v>17</v>
      </c>
      <c r="W18" s="775">
        <f>J18</f>
        <v>100</v>
      </c>
      <c r="X18" s="1816"/>
      <c r="Y18" s="321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216"/>
      <c r="Q19" s="1813"/>
      <c r="R19" s="774"/>
      <c r="S19" s="775"/>
      <c r="T19" s="774"/>
      <c r="U19" s="775"/>
      <c r="V19" s="774"/>
      <c r="W19" s="775"/>
      <c r="X19" s="1816"/>
      <c r="Y19" s="3216"/>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6"/>
      <c r="Q20" s="1813" t="str">
        <f>B20</f>
        <v>自然及人文环境</v>
      </c>
      <c r="R20" s="774" t="s">
        <v>17</v>
      </c>
      <c r="S20" s="775">
        <f>F20</f>
        <v>100</v>
      </c>
      <c r="T20" s="774" t="s">
        <v>17</v>
      </c>
      <c r="U20" s="775">
        <f>H20</f>
        <v>100</v>
      </c>
      <c r="V20" s="774" t="s">
        <v>17</v>
      </c>
      <c r="W20" s="775">
        <f>J20</f>
        <v>100</v>
      </c>
      <c r="X20" s="1816"/>
      <c r="Y20" s="321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6"/>
      <c r="Q21" s="1813"/>
      <c r="R21" s="774"/>
      <c r="S21" s="775"/>
      <c r="T21" s="774"/>
      <c r="U21" s="775"/>
      <c r="V21" s="774"/>
      <c r="W21" s="775"/>
      <c r="X21" s="1816"/>
      <c r="Y21" s="3216"/>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6"/>
      <c r="Q22" s="1813" t="str">
        <f>B22</f>
        <v>楼层</v>
      </c>
      <c r="R22" s="774" t="s">
        <v>17</v>
      </c>
      <c r="S22" s="775">
        <f>F22</f>
        <v>100</v>
      </c>
      <c r="T22" s="774" t="s">
        <v>17</v>
      </c>
      <c r="U22" s="775">
        <f>H22</f>
        <v>100</v>
      </c>
      <c r="V22" s="774" t="s">
        <v>17</v>
      </c>
      <c r="W22" s="775">
        <f>J22</f>
        <v>100</v>
      </c>
      <c r="X22" s="1816"/>
      <c r="Y22" s="321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6"/>
      <c r="Q23" s="1813">
        <f>B23</f>
        <v>111</v>
      </c>
      <c r="R23" s="774" t="s">
        <v>17</v>
      </c>
      <c r="S23" s="775">
        <f>F23</f>
        <v>100</v>
      </c>
      <c r="T23" s="774" t="s">
        <v>17</v>
      </c>
      <c r="U23" s="775">
        <f>H23</f>
        <v>100</v>
      </c>
      <c r="V23" s="774" t="s">
        <v>17</v>
      </c>
      <c r="W23" s="775">
        <f>J23</f>
        <v>100</v>
      </c>
      <c r="X23" s="1816"/>
      <c r="Y23" s="321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6"/>
      <c r="Q24" s="1813">
        <f t="shared" ref="Q24:Q34" si="11">B24</f>
        <v>111</v>
      </c>
      <c r="R24" s="774" t="s">
        <v>17</v>
      </c>
      <c r="S24" s="775">
        <f>F24</f>
        <v>100</v>
      </c>
      <c r="T24" s="774" t="s">
        <v>17</v>
      </c>
      <c r="U24" s="775">
        <f>H24</f>
        <v>100</v>
      </c>
      <c r="V24" s="774" t="s">
        <v>17</v>
      </c>
      <c r="W24" s="775">
        <f>J24</f>
        <v>100</v>
      </c>
      <c r="X24" s="1816"/>
      <c r="Y24" s="321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216"/>
      <c r="Q25" s="1798">
        <f t="shared" si="11"/>
        <v>111</v>
      </c>
      <c r="R25" s="770" t="s">
        <v>17</v>
      </c>
      <c r="S25" s="771">
        <f>F25</f>
        <v>100</v>
      </c>
      <c r="T25" s="770" t="s">
        <v>17</v>
      </c>
      <c r="U25" s="771">
        <f>H25</f>
        <v>100</v>
      </c>
      <c r="V25" s="770" t="s">
        <v>17</v>
      </c>
      <c r="W25" s="771">
        <f>J25</f>
        <v>100</v>
      </c>
      <c r="X25" s="772"/>
      <c r="Y25" s="3216"/>
      <c r="Z25" s="55">
        <f>Q25</f>
        <v>111</v>
      </c>
      <c r="AA25" s="1814">
        <f>D25/F25</f>
        <v>1</v>
      </c>
      <c r="AB25" s="1814">
        <f>D25/H25</f>
        <v>1</v>
      </c>
      <c r="AC25" s="1814">
        <f>D25/J25</f>
        <v>1</v>
      </c>
    </row>
    <row r="26" spans="1:29" ht="28.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71"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0"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0"/>
      <c r="Q27" s="776" t="str">
        <f t="shared" si="11"/>
        <v>成新率</v>
      </c>
      <c r="R27" s="777" t="s">
        <v>17</v>
      </c>
      <c r="S27" s="778" t="e">
        <f t="shared" si="12"/>
        <v>#N/A</v>
      </c>
      <c r="T27" s="777" t="s">
        <v>17</v>
      </c>
      <c r="U27" s="778" t="e">
        <f t="shared" si="13"/>
        <v>#N/A</v>
      </c>
      <c r="V27" s="777" t="s">
        <v>17</v>
      </c>
      <c r="W27" s="778" t="e">
        <f t="shared" si="14"/>
        <v>#N/A</v>
      </c>
      <c r="X27" s="779"/>
      <c r="Y27" s="3220"/>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0"/>
      <c r="Q28" s="1813" t="str">
        <f t="shared" si="11"/>
        <v>物业等级</v>
      </c>
      <c r="R28" s="774" t="s">
        <v>17</v>
      </c>
      <c r="S28" s="775">
        <f t="shared" si="12"/>
        <v>100</v>
      </c>
      <c r="T28" s="774" t="s">
        <v>17</v>
      </c>
      <c r="U28" s="775">
        <f t="shared" si="13"/>
        <v>100</v>
      </c>
      <c r="V28" s="774" t="s">
        <v>17</v>
      </c>
      <c r="W28" s="775">
        <f t="shared" si="14"/>
        <v>100</v>
      </c>
      <c r="X28" s="1816"/>
      <c r="Y28" s="3220"/>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0"/>
      <c r="Q29" s="1813" t="str">
        <f t="shared" si="11"/>
        <v>有无电梯</v>
      </c>
      <c r="R29" s="774" t="s">
        <v>17</v>
      </c>
      <c r="S29" s="775">
        <f t="shared" si="12"/>
        <v>100</v>
      </c>
      <c r="T29" s="774" t="s">
        <v>17</v>
      </c>
      <c r="U29" s="775">
        <f t="shared" si="13"/>
        <v>100</v>
      </c>
      <c r="V29" s="774" t="s">
        <v>17</v>
      </c>
      <c r="W29" s="775">
        <f t="shared" si="14"/>
        <v>100</v>
      </c>
      <c r="X29" s="1816"/>
      <c r="Y29" s="3220"/>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0"/>
      <c r="Q30" s="1813" t="str">
        <f t="shared" si="11"/>
        <v>建筑面积</v>
      </c>
      <c r="R30" s="774" t="s">
        <v>17</v>
      </c>
      <c r="S30" s="775" t="e">
        <f t="shared" si="12"/>
        <v>#N/A</v>
      </c>
      <c r="T30" s="774" t="s">
        <v>17</v>
      </c>
      <c r="U30" s="775" t="e">
        <f t="shared" si="13"/>
        <v>#N/A</v>
      </c>
      <c r="V30" s="774" t="s">
        <v>17</v>
      </c>
      <c r="W30" s="775" t="e">
        <f t="shared" si="14"/>
        <v>#N/A</v>
      </c>
      <c r="X30" s="1816"/>
      <c r="Y30" s="3220"/>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0"/>
      <c r="Q31" s="1798" t="str">
        <f t="shared" si="11"/>
        <v>是否封闭</v>
      </c>
      <c r="R31" s="770" t="s">
        <v>17</v>
      </c>
      <c r="S31" s="771">
        <f t="shared" si="12"/>
        <v>100</v>
      </c>
      <c r="T31" s="770" t="s">
        <v>17</v>
      </c>
      <c r="U31" s="771">
        <f t="shared" si="13"/>
        <v>100</v>
      </c>
      <c r="V31" s="770" t="s">
        <v>17</v>
      </c>
      <c r="W31" s="771">
        <f t="shared" si="14"/>
        <v>100</v>
      </c>
      <c r="X31" s="772"/>
      <c r="Y31" s="3220"/>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0" t="s">
        <v>2568</v>
      </c>
      <c r="Q32" s="1813">
        <f t="shared" si="11"/>
        <v>111</v>
      </c>
      <c r="R32" s="774" t="s">
        <v>17</v>
      </c>
      <c r="S32" s="775">
        <f t="shared" si="12"/>
        <v>100</v>
      </c>
      <c r="T32" s="774" t="s">
        <v>17</v>
      </c>
      <c r="U32" s="775">
        <f t="shared" si="13"/>
        <v>100</v>
      </c>
      <c r="V32" s="774" t="s">
        <v>17</v>
      </c>
      <c r="W32" s="775">
        <f t="shared" si="14"/>
        <v>100</v>
      </c>
      <c r="X32" s="1816"/>
      <c r="Y32" s="3220"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0"/>
      <c r="Q33" s="1813">
        <f t="shared" si="11"/>
        <v>111</v>
      </c>
      <c r="R33" s="774" t="s">
        <v>17</v>
      </c>
      <c r="S33" s="775">
        <f t="shared" si="12"/>
        <v>100</v>
      </c>
      <c r="T33" s="774" t="s">
        <v>17</v>
      </c>
      <c r="U33" s="775">
        <f t="shared" si="13"/>
        <v>100</v>
      </c>
      <c r="V33" s="774" t="s">
        <v>17</v>
      </c>
      <c r="W33" s="775">
        <f t="shared" si="14"/>
        <v>100</v>
      </c>
      <c r="X33" s="1816"/>
      <c r="Y33" s="3220"/>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20"/>
      <c r="Q34" s="1813">
        <f t="shared" si="11"/>
        <v>111</v>
      </c>
      <c r="R34" s="774" t="s">
        <v>17</v>
      </c>
      <c r="S34" s="775">
        <f t="shared" si="12"/>
        <v>100</v>
      </c>
      <c r="T34" s="774" t="s">
        <v>17</v>
      </c>
      <c r="U34" s="775">
        <f t="shared" si="13"/>
        <v>100</v>
      </c>
      <c r="V34" s="774" t="s">
        <v>17</v>
      </c>
      <c r="W34" s="775">
        <f t="shared" si="14"/>
        <v>100</v>
      </c>
      <c r="X34" s="1816"/>
      <c r="Y34" s="3220"/>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213" t="str">
        <f>A35</f>
        <v>成交单价（元/平方米）</v>
      </c>
      <c r="Q35" s="3213"/>
      <c r="R35" s="3214">
        <f>E35</f>
        <v>0</v>
      </c>
      <c r="S35" s="3214"/>
      <c r="T35" s="3214">
        <f>G35</f>
        <v>0</v>
      </c>
      <c r="U35" s="3214"/>
      <c r="V35" s="3214">
        <f>I35</f>
        <v>0</v>
      </c>
      <c r="W35" s="3214"/>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213" t="str">
        <f>A36</f>
        <v>比较价值（元/平方米）</v>
      </c>
      <c r="Q36" s="3213"/>
      <c r="R36" s="3214" t="e">
        <f>IF(F1="售价",ROUND(PRODUCT(R35,AA7:AA34),0),ROUND(PRODUCT(R35,AA7:AA34),1))</f>
        <v>#DIV/0!</v>
      </c>
      <c r="S36" s="3214"/>
      <c r="T36" s="3214" t="e">
        <f>IF(F1="售价",ROUND(PRODUCT(T35,AB7:AB34),0),ROUND(PRODUCT(T35,AB7:AB34),1))</f>
        <v>#DIV/0!</v>
      </c>
      <c r="U36" s="3214"/>
      <c r="V36" s="3214" t="e">
        <f>IF(F1="售价",ROUND(PRODUCT(V35,AC7:AC34),0),ROUND(PRODUCT(V35,AC7:AC34),1))</f>
        <v>#DIV/0!</v>
      </c>
      <c r="W36" s="3214"/>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210" t="str">
        <f>A37</f>
        <v>估价对象XX用房的比较价值（楼面单价，元/平方米）</v>
      </c>
      <c r="Q37" s="3211"/>
      <c r="R37" s="3212" t="e">
        <f>IF(F1="售价",ROUND(AVERAGE(R36:V36),0),ROUND(AVERAGE(R36:V36),1))</f>
        <v>#DIV/0!</v>
      </c>
      <c r="S37" s="3212"/>
      <c r="T37" s="3212"/>
      <c r="U37" s="3212"/>
      <c r="V37" s="3212"/>
      <c r="W37" s="321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2330</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30"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30"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30" s="117" customFormat="1" ht="15.75" thickBot="1">
      <c r="A7" s="408" t="s">
        <v>2551</v>
      </c>
      <c r="B7" s="409"/>
      <c r="C7" s="410">
        <f>'数据-取费表'!B2</f>
        <v>43359</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30" s="117" customFormat="1" ht="15.75" thickBot="1">
      <c r="A8" s="408" t="s">
        <v>2553</v>
      </c>
      <c r="B8" s="409"/>
      <c r="C8" s="414" t="s">
        <v>2554</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5" si="3">D8/F8</f>
        <v>#DIV/0!</v>
      </c>
      <c r="AB8" s="773" t="e">
        <f t="shared" ref="AB8:AB45" si="4">D8/H8</f>
        <v>#DIV/0!</v>
      </c>
      <c r="AC8" s="773" t="e">
        <f t="shared" ref="AC8:AC45" si="5">D8/J8</f>
        <v>#DIV/0!</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30" s="427" customFormat="1" ht="27">
      <c r="A10" s="421"/>
      <c r="B10" s="422" t="s">
        <v>2560</v>
      </c>
      <c r="C10" s="432"/>
      <c r="D10" s="136">
        <v>100</v>
      </c>
      <c r="E10" s="465"/>
      <c r="F10" s="136">
        <f>ROUND(100/'数据-取费表'!G16,0)</f>
        <v>131</v>
      </c>
      <c r="G10" s="463"/>
      <c r="H10" s="136">
        <f>ROUND(100/'数据-取费表'!G16,0)</f>
        <v>131</v>
      </c>
      <c r="I10" s="463"/>
      <c r="J10" s="136">
        <f>ROUND(100/'数据-取费表'!G16,0)</f>
        <v>131</v>
      </c>
      <c r="K10" s="672"/>
      <c r="L10" s="1138"/>
      <c r="M10" s="1139"/>
      <c r="N10" s="1139"/>
      <c r="O10" s="1140"/>
      <c r="P10" s="3213"/>
      <c r="Q10" s="1798" t="str">
        <f t="shared" si="6"/>
        <v>土地使用年限（年）</v>
      </c>
      <c r="R10" s="770" t="s">
        <v>17</v>
      </c>
      <c r="S10" s="771">
        <f t="shared" si="0"/>
        <v>131</v>
      </c>
      <c r="T10" s="770" t="s">
        <v>17</v>
      </c>
      <c r="U10" s="771">
        <f t="shared" si="1"/>
        <v>131</v>
      </c>
      <c r="V10" s="770" t="s">
        <v>17</v>
      </c>
      <c r="W10" s="771">
        <f t="shared" si="2"/>
        <v>131</v>
      </c>
      <c r="X10" s="772"/>
      <c r="Y10" s="3034"/>
      <c r="Z10" s="55" t="str">
        <f t="shared" si="7"/>
        <v>土地使用年限（年）</v>
      </c>
      <c r="AA10" s="773">
        <f t="shared" si="3"/>
        <v>0.76335877862595425</v>
      </c>
      <c r="AB10" s="773">
        <f t="shared" si="4"/>
        <v>0.76335877862595425</v>
      </c>
      <c r="AC10" s="773">
        <f t="shared" si="5"/>
        <v>0.76335877862595425</v>
      </c>
    </row>
    <row r="11" spans="1:30" ht="15">
      <c r="A11" s="428"/>
      <c r="B11" s="422" t="s">
        <v>2561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3"/>
      <c r="Q12" s="1798" t="str">
        <f t="shared" si="6"/>
        <v>配建</v>
      </c>
      <c r="R12" s="770" t="s">
        <v>17</v>
      </c>
      <c r="S12" s="771">
        <f t="shared" si="0"/>
        <v>100</v>
      </c>
      <c r="T12" s="770" t="s">
        <v>17</v>
      </c>
      <c r="U12" s="771">
        <f t="shared" si="1"/>
        <v>100</v>
      </c>
      <c r="V12" s="770" t="s">
        <v>17</v>
      </c>
      <c r="W12" s="771">
        <f t="shared" si="2"/>
        <v>100</v>
      </c>
      <c r="X12" s="772"/>
      <c r="Y12" s="3034"/>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D14/F14</f>
        <v>1</v>
      </c>
      <c r="AB14" s="773">
        <f>D14/H14</f>
        <v>1</v>
      </c>
      <c r="AC14" s="773">
        <f>D14/J14</f>
        <v>1</v>
      </c>
    </row>
    <row r="15" spans="1:30" ht="99.75">
      <c r="A15" s="440" t="s">
        <v>2562</v>
      </c>
      <c r="B15" s="69" t="s">
        <v>2088</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5" t="s">
        <v>2563</v>
      </c>
      <c r="Q15" s="1813" t="str">
        <f t="shared" si="6"/>
        <v>居住社区成熟度</v>
      </c>
      <c r="R15" s="774" t="s">
        <v>17</v>
      </c>
      <c r="S15" s="775">
        <f t="shared" si="0"/>
        <v>100</v>
      </c>
      <c r="T15" s="774" t="s">
        <v>17</v>
      </c>
      <c r="U15" s="775">
        <f t="shared" si="1"/>
        <v>100</v>
      </c>
      <c r="V15" s="774" t="s">
        <v>17</v>
      </c>
      <c r="W15" s="775">
        <f t="shared" si="2"/>
        <v>100</v>
      </c>
      <c r="X15" s="1816"/>
      <c r="Y15" s="3215" t="s">
        <v>2563</v>
      </c>
      <c r="Z15" s="1817" t="str">
        <f t="shared" si="7"/>
        <v>居住社区成熟度</v>
      </c>
      <c r="AA15" s="1814">
        <f t="shared" si="3"/>
        <v>1</v>
      </c>
      <c r="AB15" s="1814">
        <f t="shared" si="4"/>
        <v>1</v>
      </c>
      <c r="AC15" s="1814">
        <f t="shared" si="5"/>
        <v>1</v>
      </c>
    </row>
    <row r="16" spans="1:30" ht="15">
      <c r="A16" s="428"/>
      <c r="B16" s="446"/>
      <c r="C16" s="447"/>
      <c r="D16" s="448"/>
      <c r="E16" s="2611"/>
      <c r="F16" s="448"/>
      <c r="G16" s="2611"/>
      <c r="H16" s="450"/>
      <c r="I16" s="2610"/>
      <c r="J16" s="448"/>
      <c r="K16" s="672"/>
      <c r="L16" s="1143"/>
      <c r="M16" s="1134"/>
      <c r="N16" s="1134"/>
      <c r="O16" s="1142"/>
      <c r="P16" s="3216"/>
      <c r="Q16" s="1813"/>
      <c r="R16" s="774"/>
      <c r="S16" s="775"/>
      <c r="T16" s="774"/>
      <c r="U16" s="775"/>
      <c r="V16" s="774"/>
      <c r="W16" s="775"/>
      <c r="X16" s="1816"/>
      <c r="Y16" s="3216"/>
      <c r="Z16" s="1817"/>
      <c r="AA16" s="1814">
        <v>1</v>
      </c>
      <c r="AB16" s="1814">
        <v>1</v>
      </c>
      <c r="AC16" s="1814">
        <v>1</v>
      </c>
    </row>
    <row r="17" spans="1:29" ht="71.25">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6"/>
      <c r="Q17" s="1813" t="str">
        <f>B17</f>
        <v>商业繁华度</v>
      </c>
      <c r="R17" s="774" t="s">
        <v>17</v>
      </c>
      <c r="S17" s="775">
        <f>F17</f>
        <v>100</v>
      </c>
      <c r="T17" s="774" t="s">
        <v>17</v>
      </c>
      <c r="U17" s="775">
        <f>H17</f>
        <v>100</v>
      </c>
      <c r="V17" s="774" t="s">
        <v>17</v>
      </c>
      <c r="W17" s="775">
        <f>J17</f>
        <v>100</v>
      </c>
      <c r="X17" s="1816"/>
      <c r="Y17" s="3216"/>
      <c r="Z17" s="1817" t="str">
        <f>Q17</f>
        <v>商业繁华度</v>
      </c>
      <c r="AA17" s="1814">
        <f t="shared" si="3"/>
        <v>1</v>
      </c>
      <c r="AB17" s="1814">
        <f t="shared" si="4"/>
        <v>1</v>
      </c>
      <c r="AC17" s="1814">
        <f t="shared" si="5"/>
        <v>1</v>
      </c>
    </row>
    <row r="18" spans="1:29" ht="15">
      <c r="A18" s="428"/>
      <c r="B18" s="456"/>
      <c r="C18" s="2614"/>
      <c r="D18" s="450"/>
      <c r="E18" s="2616"/>
      <c r="F18" s="450"/>
      <c r="G18" s="2616"/>
      <c r="H18" s="448"/>
      <c r="I18" s="2615"/>
      <c r="J18" s="448"/>
      <c r="K18" s="672"/>
      <c r="L18" s="1143"/>
      <c r="M18" s="1134"/>
      <c r="N18" s="1134"/>
      <c r="O18" s="1142"/>
      <c r="P18" s="3216"/>
      <c r="Q18" s="1813"/>
      <c r="R18" s="774"/>
      <c r="S18" s="775"/>
      <c r="T18" s="774"/>
      <c r="U18" s="775"/>
      <c r="V18" s="774"/>
      <c r="W18" s="775"/>
      <c r="X18" s="1816"/>
      <c r="Y18" s="3216"/>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6"/>
      <c r="Q19" s="1813" t="str">
        <f>B19</f>
        <v>办公集聚程度</v>
      </c>
      <c r="R19" s="774" t="s">
        <v>17</v>
      </c>
      <c r="S19" s="775">
        <f>F19</f>
        <v>100</v>
      </c>
      <c r="T19" s="774" t="s">
        <v>17</v>
      </c>
      <c r="U19" s="775">
        <f>H19</f>
        <v>100</v>
      </c>
      <c r="V19" s="774" t="s">
        <v>17</v>
      </c>
      <c r="W19" s="775">
        <f>J19</f>
        <v>100</v>
      </c>
      <c r="X19" s="1816"/>
      <c r="Y19" s="3216"/>
      <c r="Z19" s="1817" t="str">
        <f>Q19</f>
        <v>办公集聚程度</v>
      </c>
      <c r="AA19" s="1814">
        <f t="shared" si="3"/>
        <v>1</v>
      </c>
      <c r="AB19" s="1814">
        <f t="shared" si="4"/>
        <v>1</v>
      </c>
      <c r="AC19" s="1814">
        <f t="shared" si="5"/>
        <v>1</v>
      </c>
    </row>
    <row r="20" spans="1:29" ht="15">
      <c r="A20" s="428"/>
      <c r="B20" s="456"/>
      <c r="C20" s="447"/>
      <c r="D20" s="448"/>
      <c r="E20" s="2611"/>
      <c r="F20" s="448"/>
      <c r="G20" s="2611"/>
      <c r="H20" s="448"/>
      <c r="I20" s="2610"/>
      <c r="J20" s="448"/>
      <c r="K20" s="672"/>
      <c r="L20" s="1143"/>
      <c r="M20" s="1134"/>
      <c r="N20" s="1134"/>
      <c r="O20" s="1142"/>
      <c r="P20" s="3216"/>
      <c r="Q20" s="1813"/>
      <c r="R20" s="774"/>
      <c r="S20" s="775"/>
      <c r="T20" s="774"/>
      <c r="U20" s="775"/>
      <c r="V20" s="774"/>
      <c r="W20" s="775"/>
      <c r="X20" s="1816"/>
      <c r="Y20" s="3216"/>
      <c r="Z20" s="1817"/>
      <c r="AA20" s="1814">
        <v>1</v>
      </c>
      <c r="AB20" s="1814">
        <v>1</v>
      </c>
      <c r="AC20" s="1814">
        <v>1</v>
      </c>
    </row>
    <row r="21" spans="1:29" ht="85.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6"/>
      <c r="Q21" s="1813" t="str">
        <f>B21</f>
        <v>交通便捷度</v>
      </c>
      <c r="R21" s="774" t="s">
        <v>17</v>
      </c>
      <c r="S21" s="775">
        <f>F21</f>
        <v>100</v>
      </c>
      <c r="T21" s="774" t="s">
        <v>17</v>
      </c>
      <c r="U21" s="775">
        <f>H21</f>
        <v>100</v>
      </c>
      <c r="V21" s="774" t="s">
        <v>17</v>
      </c>
      <c r="W21" s="775">
        <f>J21</f>
        <v>100</v>
      </c>
      <c r="X21" s="1816"/>
      <c r="Y21" s="3216"/>
      <c r="Z21" s="1817" t="str">
        <f>Q21</f>
        <v>交通便捷度</v>
      </c>
      <c r="AA21" s="1814">
        <f t="shared" si="3"/>
        <v>1</v>
      </c>
      <c r="AB21" s="1814">
        <f t="shared" si="4"/>
        <v>1</v>
      </c>
      <c r="AC21" s="1814">
        <f t="shared" si="5"/>
        <v>1</v>
      </c>
    </row>
    <row r="22" spans="1:29" ht="15">
      <c r="A22" s="428"/>
      <c r="B22" s="1387"/>
      <c r="C22" s="447"/>
      <c r="D22" s="450"/>
      <c r="E22" s="2611"/>
      <c r="F22" s="448"/>
      <c r="G22" s="2611"/>
      <c r="H22" s="448"/>
      <c r="I22" s="2610"/>
      <c r="J22" s="448"/>
      <c r="K22" s="672"/>
      <c r="L22" s="1143"/>
      <c r="M22" s="1134"/>
      <c r="N22" s="1134"/>
      <c r="O22" s="1142"/>
      <c r="P22" s="3216"/>
      <c r="Q22" s="1813"/>
      <c r="R22" s="774"/>
      <c r="S22" s="775"/>
      <c r="T22" s="774"/>
      <c r="U22" s="775"/>
      <c r="V22" s="774"/>
      <c r="W22" s="775"/>
      <c r="X22" s="1816"/>
      <c r="Y22" s="3216"/>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6"/>
      <c r="Q23" s="1813" t="str">
        <f t="shared" ref="Q23:Q37" si="8">B23</f>
        <v>区域土地利用方向</v>
      </c>
      <c r="R23" s="774" t="s">
        <v>17</v>
      </c>
      <c r="S23" s="775">
        <f>F23</f>
        <v>100</v>
      </c>
      <c r="T23" s="774" t="s">
        <v>17</v>
      </c>
      <c r="U23" s="775">
        <f>H23</f>
        <v>100</v>
      </c>
      <c r="V23" s="774" t="s">
        <v>17</v>
      </c>
      <c r="W23" s="775">
        <f>J23</f>
        <v>100</v>
      </c>
      <c r="X23" s="1816"/>
      <c r="Y23" s="3216"/>
      <c r="Z23" s="1817" t="str">
        <f>Q23</f>
        <v>区域土地利用方向</v>
      </c>
      <c r="AA23" s="1814">
        <f t="shared" si="3"/>
        <v>1</v>
      </c>
      <c r="AB23" s="1814">
        <f t="shared" si="4"/>
        <v>1</v>
      </c>
      <c r="AC23" s="1814">
        <f t="shared" si="5"/>
        <v>1</v>
      </c>
    </row>
    <row r="24" spans="1:29" ht="15">
      <c r="A24" s="404"/>
      <c r="B24" s="456"/>
      <c r="C24" s="616"/>
      <c r="D24" s="448"/>
      <c r="E24" s="2611"/>
      <c r="F24" s="448"/>
      <c r="G24" s="2610"/>
      <c r="H24" s="448"/>
      <c r="I24" s="2610"/>
      <c r="J24" s="448"/>
      <c r="K24" s="812"/>
      <c r="L24" s="1143"/>
      <c r="M24" s="1134"/>
      <c r="N24" s="1134"/>
      <c r="O24" s="1142"/>
      <c r="P24" s="3216"/>
      <c r="Q24" s="1813"/>
      <c r="R24" s="774"/>
      <c r="S24" s="775"/>
      <c r="T24" s="774"/>
      <c r="U24" s="775"/>
      <c r="V24" s="774"/>
      <c r="W24" s="775"/>
      <c r="X24" s="1816"/>
      <c r="Y24" s="3216"/>
      <c r="Z24" s="1817"/>
      <c r="AA24" s="1814"/>
      <c r="AB24" s="1814"/>
      <c r="AC24" s="1814"/>
    </row>
    <row r="25" spans="1:29" ht="57">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6"/>
      <c r="Q25" s="1813" t="str">
        <f t="shared" si="8"/>
        <v>自然及人文环境状况</v>
      </c>
      <c r="R25" s="774" t="s">
        <v>17</v>
      </c>
      <c r="S25" s="775">
        <f>F25</f>
        <v>100</v>
      </c>
      <c r="T25" s="774" t="s">
        <v>17</v>
      </c>
      <c r="U25" s="775">
        <f>H25</f>
        <v>100</v>
      </c>
      <c r="V25" s="774" t="s">
        <v>17</v>
      </c>
      <c r="W25" s="775">
        <f>J25</f>
        <v>100</v>
      </c>
      <c r="X25" s="1816"/>
      <c r="Y25" s="3216"/>
      <c r="Z25" s="1817" t="str">
        <f>Q25</f>
        <v>自然及人文环境状况</v>
      </c>
      <c r="AA25" s="1814">
        <f t="shared" si="3"/>
        <v>1</v>
      </c>
      <c r="AB25" s="1814">
        <f t="shared" si="4"/>
        <v>1</v>
      </c>
      <c r="AC25" s="1814">
        <f t="shared" si="5"/>
        <v>1</v>
      </c>
    </row>
    <row r="26" spans="1:29" ht="15">
      <c r="A26" s="404"/>
      <c r="B26" s="456"/>
      <c r="C26" s="447"/>
      <c r="D26" s="448"/>
      <c r="E26" s="2617"/>
      <c r="F26" s="448"/>
      <c r="G26" s="2617"/>
      <c r="H26" s="448"/>
      <c r="I26" s="447"/>
      <c r="J26" s="448"/>
      <c r="K26" s="672"/>
      <c r="L26" s="1143"/>
      <c r="M26" s="1134"/>
      <c r="N26" s="1134"/>
      <c r="O26" s="1142"/>
      <c r="P26" s="3216"/>
      <c r="Q26" s="1813"/>
      <c r="R26" s="774"/>
      <c r="S26" s="775"/>
      <c r="T26" s="774"/>
      <c r="U26" s="775"/>
      <c r="V26" s="774"/>
      <c r="W26" s="775"/>
      <c r="X26" s="1816"/>
      <c r="Y26" s="3216"/>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6"/>
      <c r="Q27" s="1798" t="str">
        <f t="shared" si="8"/>
        <v>公共配套设施</v>
      </c>
      <c r="R27" s="770" t="s">
        <v>17</v>
      </c>
      <c r="S27" s="771">
        <f>F27</f>
        <v>100</v>
      </c>
      <c r="T27" s="770" t="s">
        <v>17</v>
      </c>
      <c r="U27" s="771">
        <f>H27</f>
        <v>100</v>
      </c>
      <c r="V27" s="770" t="s">
        <v>17</v>
      </c>
      <c r="W27" s="771">
        <f>J27</f>
        <v>100</v>
      </c>
      <c r="X27" s="772"/>
      <c r="Y27" s="3216"/>
      <c r="Z27" s="55" t="str">
        <f>Q27</f>
        <v>公共配套设施</v>
      </c>
      <c r="AA27" s="1814">
        <f>D27/F27</f>
        <v>1</v>
      </c>
      <c r="AB27" s="1814">
        <f>D27/H27</f>
        <v>1</v>
      </c>
      <c r="AC27" s="1814">
        <f>D27/J27</f>
        <v>1</v>
      </c>
    </row>
    <row r="28" spans="1:29" s="117" customFormat="1" ht="15">
      <c r="A28" s="649"/>
      <c r="B28" s="456"/>
      <c r="C28" s="2706"/>
      <c r="D28" s="448"/>
      <c r="E28" s="2617"/>
      <c r="F28" s="448"/>
      <c r="G28" s="2617"/>
      <c r="H28" s="448"/>
      <c r="I28" s="447"/>
      <c r="J28" s="448"/>
      <c r="K28" s="672"/>
      <c r="L28" s="1135"/>
      <c r="M28" s="1136"/>
      <c r="N28" s="1136"/>
      <c r="O28" s="1137"/>
      <c r="P28" s="3216"/>
      <c r="Q28" s="1798"/>
      <c r="R28" s="770"/>
      <c r="S28" s="771"/>
      <c r="T28" s="770"/>
      <c r="U28" s="771"/>
      <c r="V28" s="770"/>
      <c r="W28" s="771"/>
      <c r="X28" s="772"/>
      <c r="Y28" s="3216"/>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6"/>
      <c r="Q29" s="1798" t="str">
        <f t="shared" ref="Q29" si="9">B29</f>
        <v>基础设施水平</v>
      </c>
      <c r="R29" s="770" t="s">
        <v>17</v>
      </c>
      <c r="S29" s="771">
        <f>F29</f>
        <v>100</v>
      </c>
      <c r="T29" s="770" t="s">
        <v>17</v>
      </c>
      <c r="U29" s="771">
        <f>H29</f>
        <v>100</v>
      </c>
      <c r="V29" s="770" t="s">
        <v>17</v>
      </c>
      <c r="W29" s="771">
        <f>J29</f>
        <v>100</v>
      </c>
      <c r="X29" s="772"/>
      <c r="Y29" s="3216"/>
      <c r="Z29" s="55" t="str">
        <f>Q29</f>
        <v>基础设施水平</v>
      </c>
      <c r="AA29" s="1814">
        <f>D29/F29</f>
        <v>1</v>
      </c>
      <c r="AB29" s="1814">
        <f>D29/H29</f>
        <v>1</v>
      </c>
      <c r="AC29" s="1814">
        <f>D29/J29</f>
        <v>1</v>
      </c>
    </row>
    <row r="30" spans="1:29" s="117" customFormat="1" ht="15">
      <c r="A30" s="649"/>
      <c r="B30" s="456"/>
      <c r="C30" s="2706"/>
      <c r="D30" s="448"/>
      <c r="E30" s="2707"/>
      <c r="F30" s="448"/>
      <c r="G30" s="2707"/>
      <c r="H30" s="448"/>
      <c r="I30" s="2707"/>
      <c r="J30" s="448"/>
      <c r="K30" s="672"/>
      <c r="L30" s="1135"/>
      <c r="M30" s="1136"/>
      <c r="N30" s="1136"/>
      <c r="O30" s="1137"/>
      <c r="P30" s="3216"/>
      <c r="Q30" s="1798"/>
      <c r="R30" s="770"/>
      <c r="S30" s="771"/>
      <c r="T30" s="770"/>
      <c r="U30" s="771"/>
      <c r="V30" s="770"/>
      <c r="W30" s="771"/>
      <c r="X30" s="772"/>
      <c r="Y30" s="3216"/>
      <c r="Z30" s="55"/>
      <c r="AA30" s="1814">
        <v>1</v>
      </c>
      <c r="AB30" s="1814">
        <v>1</v>
      </c>
      <c r="AC30" s="1814">
        <v>1</v>
      </c>
    </row>
    <row r="31" spans="1:29" ht="15">
      <c r="A31" s="428"/>
      <c r="B31" s="456" t="s">
        <v>2659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6"/>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6"/>
      <c r="Q32" s="1813" t="str">
        <f t="shared" si="8"/>
        <v>毗邻道路的类型与等级</v>
      </c>
      <c r="R32" s="774" t="s">
        <v>17</v>
      </c>
      <c r="S32" s="775">
        <f t="shared" si="10"/>
        <v>100</v>
      </c>
      <c r="T32" s="774" t="s">
        <v>17</v>
      </c>
      <c r="U32" s="775">
        <f t="shared" si="11"/>
        <v>100</v>
      </c>
      <c r="V32" s="774" t="s">
        <v>17</v>
      </c>
      <c r="W32" s="775">
        <f t="shared" si="12"/>
        <v>100</v>
      </c>
      <c r="X32" s="1816"/>
      <c r="Y32" s="321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216"/>
      <c r="Q33" s="1813"/>
      <c r="R33" s="774"/>
      <c r="S33" s="775"/>
      <c r="T33" s="774"/>
      <c r="U33" s="775"/>
      <c r="V33" s="774"/>
      <c r="W33" s="775"/>
      <c r="X33" s="1816"/>
      <c r="Y33" s="3216"/>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6"/>
      <c r="Q34" s="1813" t="str">
        <f t="shared" si="8"/>
        <v>土地级别</v>
      </c>
      <c r="R34" s="774" t="s">
        <v>17</v>
      </c>
      <c r="S34" s="775">
        <f t="shared" si="10"/>
        <v>100</v>
      </c>
      <c r="T34" s="774" t="s">
        <v>17</v>
      </c>
      <c r="U34" s="775">
        <f t="shared" si="11"/>
        <v>100</v>
      </c>
      <c r="V34" s="774" t="s">
        <v>17</v>
      </c>
      <c r="W34" s="775">
        <f t="shared" si="12"/>
        <v>100</v>
      </c>
      <c r="X34" s="1816"/>
      <c r="Y34" s="321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6"/>
      <c r="Q35" s="1813">
        <f t="shared" si="8"/>
        <v>111</v>
      </c>
      <c r="R35" s="774" t="s">
        <v>17</v>
      </c>
      <c r="S35" s="775">
        <f t="shared" si="10"/>
        <v>100</v>
      </c>
      <c r="T35" s="774" t="s">
        <v>17</v>
      </c>
      <c r="U35" s="775">
        <f t="shared" si="11"/>
        <v>100</v>
      </c>
      <c r="V35" s="774" t="s">
        <v>17</v>
      </c>
      <c r="W35" s="775">
        <f t="shared" si="12"/>
        <v>100</v>
      </c>
      <c r="X35" s="1816"/>
      <c r="Y35" s="321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1" t="s">
        <v>2568</v>
      </c>
      <c r="Q36" s="1813">
        <f t="shared" si="8"/>
        <v>111</v>
      </c>
      <c r="R36" s="774" t="s">
        <v>17</v>
      </c>
      <c r="S36" s="775">
        <f t="shared" si="10"/>
        <v>100</v>
      </c>
      <c r="T36" s="774" t="s">
        <v>17</v>
      </c>
      <c r="U36" s="775">
        <f t="shared" si="11"/>
        <v>100</v>
      </c>
      <c r="V36" s="774" t="s">
        <v>17</v>
      </c>
      <c r="W36" s="775">
        <f t="shared" si="12"/>
        <v>100</v>
      </c>
      <c r="X36" s="1816"/>
      <c r="Y36" s="3220"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0"/>
      <c r="Q37" s="1813">
        <f t="shared" si="8"/>
        <v>111</v>
      </c>
      <c r="R37" s="777" t="s">
        <v>17</v>
      </c>
      <c r="S37" s="778">
        <f t="shared" si="10"/>
        <v>100</v>
      </c>
      <c r="T37" s="777" t="s">
        <v>17</v>
      </c>
      <c r="U37" s="778">
        <f t="shared" si="11"/>
        <v>100</v>
      </c>
      <c r="V37" s="777" t="s">
        <v>17</v>
      </c>
      <c r="W37" s="778">
        <f t="shared" si="12"/>
        <v>100</v>
      </c>
      <c r="X37" s="779"/>
      <c r="Y37" s="3220"/>
      <c r="Z37" s="780">
        <f t="shared" si="13"/>
        <v>111</v>
      </c>
      <c r="AA37" s="1814">
        <f t="shared" si="3"/>
        <v>1</v>
      </c>
      <c r="AB37" s="1814">
        <f t="shared" si="4"/>
        <v>1</v>
      </c>
      <c r="AC37" s="1814">
        <f t="shared" si="5"/>
        <v>1</v>
      </c>
    </row>
    <row r="38" spans="1:29" ht="15">
      <c r="A38" s="472" t="s">
        <v>2566</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0"/>
      <c r="Q38" s="1813" t="str">
        <f>B38</f>
        <v>宗地面积</v>
      </c>
      <c r="R38" s="774" t="s">
        <v>17</v>
      </c>
      <c r="S38" s="775" t="e">
        <f t="shared" si="10"/>
        <v>#N/A</v>
      </c>
      <c r="T38" s="774" t="s">
        <v>17</v>
      </c>
      <c r="U38" s="775" t="e">
        <f t="shared" si="11"/>
        <v>#N/A</v>
      </c>
      <c r="V38" s="774" t="s">
        <v>17</v>
      </c>
      <c r="W38" s="775" t="e">
        <f t="shared" si="12"/>
        <v>#N/A</v>
      </c>
      <c r="X38" s="1816"/>
      <c r="Y38" s="3220"/>
      <c r="Z38" s="1817" t="str">
        <f t="shared" si="13"/>
        <v>宗地面积</v>
      </c>
      <c r="AA38" s="1814" t="e">
        <f t="shared" si="3"/>
        <v>#N/A</v>
      </c>
      <c r="AB38" s="1814" t="e">
        <f t="shared" si="4"/>
        <v>#N/A</v>
      </c>
      <c r="AC38" s="1814" t="e">
        <f t="shared" si="5"/>
        <v>#N/A</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20"/>
      <c r="Q39" s="1813" t="str">
        <f t="shared" ref="Q39:Q45" si="14">B39</f>
        <v>宗地形状</v>
      </c>
      <c r="R39" s="774" t="s">
        <v>17</v>
      </c>
      <c r="S39" s="775">
        <f t="shared" si="10"/>
        <v>100</v>
      </c>
      <c r="T39" s="774" t="s">
        <v>17</v>
      </c>
      <c r="U39" s="775">
        <f t="shared" si="11"/>
        <v>100</v>
      </c>
      <c r="V39" s="774" t="s">
        <v>17</v>
      </c>
      <c r="W39" s="775">
        <f t="shared" si="12"/>
        <v>100</v>
      </c>
      <c r="X39" s="1816"/>
      <c r="Y39" s="3220"/>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20"/>
      <c r="Q40" s="1813" t="str">
        <f t="shared" si="14"/>
        <v>临街宽度及深度</v>
      </c>
      <c r="R40" s="774" t="s">
        <v>17</v>
      </c>
      <c r="S40" s="775">
        <f t="shared" si="10"/>
        <v>100</v>
      </c>
      <c r="T40" s="774" t="s">
        <v>17</v>
      </c>
      <c r="U40" s="775">
        <f t="shared" si="11"/>
        <v>100</v>
      </c>
      <c r="V40" s="774" t="s">
        <v>17</v>
      </c>
      <c r="W40" s="775">
        <f t="shared" si="12"/>
        <v>100</v>
      </c>
      <c r="X40" s="1816"/>
      <c r="Y40" s="3220"/>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20"/>
      <c r="Q41" s="1813" t="str">
        <f t="shared" si="14"/>
        <v>宗地开发程度</v>
      </c>
      <c r="R41" s="770" t="s">
        <v>17</v>
      </c>
      <c r="S41" s="771">
        <f t="shared" si="10"/>
        <v>100</v>
      </c>
      <c r="T41" s="770" t="s">
        <v>17</v>
      </c>
      <c r="U41" s="771">
        <f t="shared" si="11"/>
        <v>100</v>
      </c>
      <c r="V41" s="770" t="s">
        <v>17</v>
      </c>
      <c r="W41" s="771">
        <f t="shared" si="12"/>
        <v>100</v>
      </c>
      <c r="X41" s="772"/>
      <c r="Y41" s="3220"/>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20" t="s">
        <v>2568</v>
      </c>
      <c r="Q42" s="1813" t="str">
        <f t="shared" si="14"/>
        <v>工程地质条件</v>
      </c>
      <c r="R42" s="774" t="s">
        <v>17</v>
      </c>
      <c r="S42" s="775">
        <f t="shared" si="10"/>
        <v>100</v>
      </c>
      <c r="T42" s="774" t="s">
        <v>17</v>
      </c>
      <c r="U42" s="775">
        <f t="shared" si="11"/>
        <v>100</v>
      </c>
      <c r="V42" s="774" t="s">
        <v>17</v>
      </c>
      <c r="W42" s="775">
        <f t="shared" si="12"/>
        <v>100</v>
      </c>
      <c r="X42" s="1816"/>
      <c r="Y42" s="3220"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0"/>
      <c r="Q43" s="1813">
        <f t="shared" si="14"/>
        <v>111</v>
      </c>
      <c r="R43" s="774" t="s">
        <v>17</v>
      </c>
      <c r="S43" s="775">
        <f t="shared" si="10"/>
        <v>100</v>
      </c>
      <c r="T43" s="774" t="s">
        <v>17</v>
      </c>
      <c r="U43" s="775">
        <f t="shared" si="11"/>
        <v>100</v>
      </c>
      <c r="V43" s="774" t="s">
        <v>17</v>
      </c>
      <c r="W43" s="775">
        <f t="shared" si="12"/>
        <v>100</v>
      </c>
      <c r="X43" s="1816"/>
      <c r="Y43" s="322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0"/>
      <c r="Q44" s="1813">
        <f t="shared" si="14"/>
        <v>111</v>
      </c>
      <c r="R44" s="774" t="s">
        <v>17</v>
      </c>
      <c r="S44" s="775">
        <f t="shared" si="10"/>
        <v>100</v>
      </c>
      <c r="T44" s="774" t="s">
        <v>17</v>
      </c>
      <c r="U44" s="775">
        <f t="shared" si="11"/>
        <v>100</v>
      </c>
      <c r="V44" s="774" t="s">
        <v>17</v>
      </c>
      <c r="W44" s="775">
        <f t="shared" si="12"/>
        <v>100</v>
      </c>
      <c r="X44" s="1816"/>
      <c r="Y44" s="3220"/>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0"/>
      <c r="Q45" s="1813">
        <f t="shared" si="14"/>
        <v>111</v>
      </c>
      <c r="R45" s="777" t="s">
        <v>17</v>
      </c>
      <c r="S45" s="778">
        <f t="shared" si="10"/>
        <v>100</v>
      </c>
      <c r="T45" s="777" t="s">
        <v>17</v>
      </c>
      <c r="U45" s="778">
        <f t="shared" si="11"/>
        <v>100</v>
      </c>
      <c r="V45" s="777" t="s">
        <v>17</v>
      </c>
      <c r="W45" s="778">
        <f t="shared" si="12"/>
        <v>100</v>
      </c>
      <c r="X45" s="779"/>
      <c r="Y45" s="3220"/>
      <c r="Z45" s="780">
        <f t="shared" si="13"/>
        <v>111</v>
      </c>
      <c r="AA45" s="1814">
        <f t="shared" si="3"/>
        <v>1</v>
      </c>
      <c r="AB45" s="1814">
        <f t="shared" si="4"/>
        <v>1</v>
      </c>
      <c r="AC45" s="1814">
        <f t="shared" si="5"/>
        <v>1</v>
      </c>
    </row>
    <row r="46" spans="1:29" ht="15">
      <c r="A46" s="479" t="s">
        <v>2723</v>
      </c>
      <c r="B46" s="2710" t="s">
        <v>2759</v>
      </c>
      <c r="C46" s="682" t="s">
        <v>1</v>
      </c>
      <c r="D46" s="481"/>
      <c r="E46" s="482"/>
      <c r="F46" s="483"/>
      <c r="G46" s="484"/>
      <c r="H46" s="485"/>
      <c r="I46" s="482"/>
      <c r="J46" s="485"/>
      <c r="K46" s="783"/>
      <c r="L46" s="1146"/>
      <c r="M46" s="1147"/>
      <c r="N46" s="1134"/>
      <c r="O46" s="1147"/>
      <c r="P46" s="3213" t="str">
        <f>A46</f>
        <v>成交单价</v>
      </c>
      <c r="Q46" s="3213"/>
      <c r="R46" s="3244">
        <f>E46</f>
        <v>0</v>
      </c>
      <c r="S46" s="3244"/>
      <c r="T46" s="3244">
        <f>G46</f>
        <v>0</v>
      </c>
      <c r="U46" s="3244"/>
      <c r="V46" s="3244">
        <f>I46</f>
        <v>0</v>
      </c>
      <c r="W46" s="3244"/>
      <c r="X46" s="759"/>
      <c r="Y46" s="781"/>
      <c r="Z46" s="759"/>
      <c r="AA46" s="759"/>
      <c r="AB46" s="759"/>
      <c r="AC46" s="759"/>
    </row>
    <row r="47" spans="1:29" ht="15.75" thickBot="1">
      <c r="A47" s="486" t="s">
        <v>2672</v>
      </c>
      <c r="B47" s="683"/>
      <c r="C47" s="490" t="e">
        <f>R48</f>
        <v>#DIV/0!</v>
      </c>
      <c r="D47" s="489"/>
      <c r="E47" s="490" t="e">
        <f>R47</f>
        <v>#DIV/0!</v>
      </c>
      <c r="F47" s="491"/>
      <c r="G47" s="488" t="e">
        <f>T47</f>
        <v>#DIV/0!</v>
      </c>
      <c r="H47" s="489"/>
      <c r="I47" s="490" t="e">
        <f>V47</f>
        <v>#DIV/0!</v>
      </c>
      <c r="J47" s="489"/>
      <c r="K47" s="784"/>
      <c r="L47" s="1146"/>
      <c r="M47" s="1147"/>
      <c r="N47" s="1147"/>
      <c r="O47" s="1147"/>
      <c r="P47" s="3213" t="str">
        <f>A47</f>
        <v>比较价值（元/平方米）</v>
      </c>
      <c r="Q47" s="3213"/>
      <c r="R47" s="3272" t="e">
        <f>ROUND(PRODUCT(R46,AA7:AA45),0)</f>
        <v>#DIV/0!</v>
      </c>
      <c r="S47" s="3272"/>
      <c r="T47" s="3272" t="e">
        <f>ROUND(PRODUCT(T46,AB7:AB45),0)</f>
        <v>#DIV/0!</v>
      </c>
      <c r="U47" s="3272"/>
      <c r="V47" s="3272" t="e">
        <f>ROUND(PRODUCT(V46,AC7:AC45),0)</f>
        <v>#DIV/0!</v>
      </c>
      <c r="W47" s="3272"/>
      <c r="X47" s="759"/>
      <c r="Y47" s="759"/>
      <c r="Z47" s="759"/>
      <c r="AA47" s="759"/>
      <c r="AB47" s="759"/>
      <c r="AC47" s="759"/>
    </row>
    <row r="48" spans="1:29" ht="15.75" thickBot="1">
      <c r="A48" s="492" t="s">
        <v>2760</v>
      </c>
      <c r="B48" s="493"/>
      <c r="C48" s="494" t="e">
        <f>R48</f>
        <v>#DIV/0!</v>
      </c>
      <c r="D48" s="494"/>
      <c r="E48" s="494"/>
      <c r="F48" s="494"/>
      <c r="G48" s="494"/>
      <c r="H48" s="494"/>
      <c r="I48" s="494"/>
      <c r="J48" s="494"/>
      <c r="K48" s="785"/>
      <c r="L48" s="1146"/>
      <c r="M48" s="1147"/>
      <c r="N48" s="1147"/>
      <c r="O48" s="1147"/>
      <c r="P48" s="3210" t="str">
        <f>A48</f>
        <v>估价对象XX用房的比较价值（楼面单价，元/平方米）</v>
      </c>
      <c r="Q48" s="3211"/>
      <c r="R48" s="3273" t="e">
        <f>ROUND(AVERAGE(R47:V47),0)</f>
        <v>#DIV/0!</v>
      </c>
      <c r="S48" s="3273"/>
      <c r="T48" s="3273"/>
      <c r="U48" s="3273"/>
      <c r="V48" s="3273"/>
      <c r="W48" s="327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2761</v>
      </c>
      <c r="B55" s="685" t="s">
        <v>2762</v>
      </c>
      <c r="C55" s="2711" t="s">
        <v>2763</v>
      </c>
      <c r="D55" s="2712" t="s">
        <v>2764</v>
      </c>
      <c r="E55" s="686" t="s">
        <v>2765</v>
      </c>
      <c r="F55" s="1110" t="s">
        <v>2766</v>
      </c>
      <c r="G55" s="3228" t="s">
        <v>2767</v>
      </c>
      <c r="H55" s="3274"/>
      <c r="I55" s="144" t="s">
        <v>2768</v>
      </c>
      <c r="J55" s="2713">
        <f>项目基本情况!F35</f>
        <v>0</v>
      </c>
      <c r="K55" s="2714" t="s">
        <v>2769</v>
      </c>
      <c r="L55" s="1109"/>
      <c r="M55" s="1147"/>
      <c r="N55" s="1147"/>
      <c r="O55" s="1147"/>
    </row>
    <row r="56" spans="1:15" s="692" customFormat="1">
      <c r="A56" s="688" t="s">
        <v>2770</v>
      </c>
      <c r="B56" s="689" t="e">
        <f>C48</f>
        <v>#DIV/0!</v>
      </c>
      <c r="C56" s="690">
        <v>1</v>
      </c>
      <c r="D56" s="1166">
        <v>1</v>
      </c>
      <c r="E56" s="690">
        <f>'数据-汇总表'!E8+'数据-汇总表'!E9</f>
        <v>2876.99</v>
      </c>
      <c r="F56" s="1106" t="e">
        <f t="shared" ref="F56:F65" si="15">ROUND(B56*E56/10000,0)</f>
        <v>#DIV/0!</v>
      </c>
      <c r="G56" s="3224"/>
      <c r="H56" s="3213"/>
      <c r="I56" s="1111">
        <v>1</v>
      </c>
      <c r="J56" s="1114">
        <v>1</v>
      </c>
      <c r="K56" s="1148"/>
      <c r="L56" s="944"/>
      <c r="M56" s="944"/>
      <c r="N56" s="944"/>
      <c r="O56" s="944"/>
    </row>
    <row r="57" spans="1:15" s="692" customFormat="1">
      <c r="A57" s="693" t="s">
        <v>2771</v>
      </c>
      <c r="B57" s="262" t="e">
        <f>ROUND($C$48*C57*D57,0)</f>
        <v>#DIV/0!</v>
      </c>
      <c r="C57" s="200">
        <f t="shared" ref="C57:C65" si="16">IF($C$55="北京市系数",I57,J57)</f>
        <v>0.7</v>
      </c>
      <c r="D57" s="1167">
        <v>0.25</v>
      </c>
      <c r="E57" s="694"/>
      <c r="F57" s="1106" t="e">
        <f t="shared" si="15"/>
        <v>#DIV/0!</v>
      </c>
      <c r="G57" s="3275" t="s">
        <v>2772</v>
      </c>
      <c r="H57" s="1107" t="str">
        <f>项目基本情况!B37</f>
        <v>六级</v>
      </c>
      <c r="I57" s="1111">
        <f>SUMIF(修正!A45:A56,H57,修正!B45:B56)</f>
        <v>0.7</v>
      </c>
      <c r="J57" s="1115"/>
      <c r="K57" s="1147"/>
      <c r="L57" s="944"/>
      <c r="M57" s="944"/>
      <c r="N57" s="944"/>
      <c r="O57" s="944"/>
    </row>
    <row r="58" spans="1:15" s="692" customFormat="1">
      <c r="A58" s="693" t="s">
        <v>2773</v>
      </c>
      <c r="B58" s="262" t="e">
        <f t="shared" ref="B58:B65" si="17">ROUND($C$48*C58*D58,0)</f>
        <v>#DIV/0!</v>
      </c>
      <c r="C58" s="200">
        <f t="shared" si="16"/>
        <v>0.4</v>
      </c>
      <c r="D58" s="1167">
        <v>0.25</v>
      </c>
      <c r="E58" s="694"/>
      <c r="F58" s="1106" t="e">
        <f t="shared" si="15"/>
        <v>#DIV/0!</v>
      </c>
      <c r="G58" s="3275"/>
      <c r="H58" s="1107" t="str">
        <f>项目基本情况!B37</f>
        <v>六级</v>
      </c>
      <c r="I58" s="1111">
        <f>SUMIF(修正!A45:A56,H58,修正!C45:C56)</f>
        <v>0.4</v>
      </c>
      <c r="J58" s="1115"/>
      <c r="K58" s="1148"/>
      <c r="L58" s="944"/>
      <c r="M58" s="944"/>
      <c r="N58" s="944"/>
      <c r="O58" s="944"/>
    </row>
    <row r="59" spans="1:15" s="692" customFormat="1">
      <c r="A59" s="693" t="s">
        <v>2774</v>
      </c>
      <c r="B59" s="262" t="e">
        <f t="shared" si="17"/>
        <v>#DIV/0!</v>
      </c>
      <c r="C59" s="200">
        <f t="shared" si="16"/>
        <v>0.28000000000000003</v>
      </c>
      <c r="D59" s="1167">
        <v>0.25</v>
      </c>
      <c r="E59" s="694"/>
      <c r="F59" s="1106" t="e">
        <f t="shared" si="15"/>
        <v>#DIV/0!</v>
      </c>
      <c r="G59" s="3275"/>
      <c r="H59" s="1107" t="str">
        <f>项目基本情况!B37</f>
        <v>六级</v>
      </c>
      <c r="I59" s="1111">
        <f>SUMIF(修正!A45:A56,H59,修正!D45:D56)</f>
        <v>0.28000000000000003</v>
      </c>
      <c r="J59" s="1115"/>
      <c r="K59" s="1147"/>
      <c r="L59" s="944"/>
      <c r="M59" s="944"/>
      <c r="N59" s="944"/>
      <c r="O59" s="944"/>
    </row>
    <row r="60" spans="1:15" s="692" customFormat="1">
      <c r="A60" s="693" t="s">
        <v>2775</v>
      </c>
      <c r="B60" s="262" t="e">
        <f t="shared" si="17"/>
        <v>#DIV/0!</v>
      </c>
      <c r="C60" s="200">
        <f t="shared" si="16"/>
        <v>0.25</v>
      </c>
      <c r="D60" s="1167">
        <v>0.25</v>
      </c>
      <c r="E60" s="694"/>
      <c r="F60" s="1106" t="e">
        <f t="shared" si="15"/>
        <v>#DIV/0!</v>
      </c>
      <c r="G60" s="3275"/>
      <c r="H60" s="1107" t="str">
        <f>项目基本情况!B37</f>
        <v>六级</v>
      </c>
      <c r="I60" s="1111">
        <f>SUMIF(修正!A45:A56,H60,修正!E45:E56)</f>
        <v>0.25</v>
      </c>
      <c r="J60" s="1115"/>
      <c r="K60" s="1148"/>
      <c r="L60" s="944"/>
      <c r="M60" s="944"/>
      <c r="N60" s="944"/>
      <c r="O60" s="944"/>
    </row>
    <row r="61" spans="1:15" s="692" customFormat="1">
      <c r="A61" s="693" t="s">
        <v>2776</v>
      </c>
      <c r="B61" s="262" t="e">
        <f t="shared" si="17"/>
        <v>#DIV/0!</v>
      </c>
      <c r="C61" s="200">
        <f t="shared" si="16"/>
        <v>0</v>
      </c>
      <c r="D61" s="1167">
        <v>0.25</v>
      </c>
      <c r="E61" s="261">
        <f>'数据-汇总表'!E11</f>
        <v>0</v>
      </c>
      <c r="F61" s="1106" t="e">
        <f t="shared" si="15"/>
        <v>#DIV/0!</v>
      </c>
      <c r="G61" s="2715" t="s">
        <v>2777</v>
      </c>
      <c r="H61" s="1107">
        <f>项目基本情况!C37</f>
        <v>0</v>
      </c>
      <c r="I61" s="1111">
        <f>SUMIF(修正!A45:A56,H61,修正!F45:F56)</f>
        <v>0</v>
      </c>
      <c r="J61" s="1115"/>
      <c r="K61" s="1147"/>
      <c r="L61" s="944"/>
      <c r="M61" s="944"/>
      <c r="N61" s="944"/>
      <c r="O61" s="944"/>
    </row>
    <row r="62" spans="1:15" s="692" customFormat="1">
      <c r="A62" s="693" t="s">
        <v>2778</v>
      </c>
      <c r="B62" s="262" t="e">
        <f t="shared" si="17"/>
        <v>#DIV/0!</v>
      </c>
      <c r="C62" s="200">
        <f t="shared" si="16"/>
        <v>0</v>
      </c>
      <c r="D62" s="1167">
        <v>0.25</v>
      </c>
      <c r="E62" s="261">
        <f>'数据-汇总表'!E12</f>
        <v>0</v>
      </c>
      <c r="F62" s="1106" t="e">
        <f t="shared" si="15"/>
        <v>#DIV/0!</v>
      </c>
      <c r="G62" s="1112" t="s">
        <v>2779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2780</v>
      </c>
      <c r="B63" s="262" t="e">
        <f t="shared" si="17"/>
        <v>#DIV/0!</v>
      </c>
      <c r="C63" s="200">
        <f t="shared" si="16"/>
        <v>0</v>
      </c>
      <c r="D63" s="1167">
        <v>0.25</v>
      </c>
      <c r="E63" s="261">
        <f>'数据-汇总表'!E13</f>
        <v>0</v>
      </c>
      <c r="F63" s="1106" t="e">
        <f t="shared" si="15"/>
        <v>#DIV/0!</v>
      </c>
      <c r="G63" s="1112" t="s">
        <v>2781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2782</v>
      </c>
      <c r="B64" s="262" t="e">
        <f t="shared" si="17"/>
        <v>#DIV/0!</v>
      </c>
      <c r="C64" s="200">
        <f t="shared" si="16"/>
        <v>0.2</v>
      </c>
      <c r="D64" s="1167">
        <v>0.25</v>
      </c>
      <c r="E64" s="261">
        <f>'数据-汇总表'!E14</f>
        <v>0</v>
      </c>
      <c r="F64" s="1106" t="e">
        <f t="shared" si="15"/>
        <v>#DIV/0!</v>
      </c>
      <c r="G64" s="2715" t="s">
        <v>2772</v>
      </c>
      <c r="H64" s="1107" t="str">
        <f>项目基本情况!B37</f>
        <v>六级</v>
      </c>
      <c r="I64" s="1111">
        <f>SUMIF(修正!A45:A56,H64,修正!H45:H56)</f>
        <v>0.2</v>
      </c>
      <c r="J64" s="1115"/>
      <c r="K64" s="1148"/>
      <c r="L64" s="944"/>
      <c r="M64" s="944"/>
      <c r="N64" s="944"/>
      <c r="O64" s="944"/>
    </row>
    <row r="65" spans="1:17" s="692" customFormat="1" ht="15" thickBot="1">
      <c r="A65" s="693" t="s">
        <v>2783</v>
      </c>
      <c r="B65" s="262" t="e">
        <f t="shared" si="17"/>
        <v>#DIV/0!</v>
      </c>
      <c r="C65" s="200">
        <f t="shared" si="16"/>
        <v>0</v>
      </c>
      <c r="D65" s="1167">
        <v>0.25</v>
      </c>
      <c r="E65" s="261">
        <f>'数据-汇总表'!E15</f>
        <v>0</v>
      </c>
      <c r="F65" s="1106" t="e">
        <f t="shared" si="15"/>
        <v>#DIV/0!</v>
      </c>
      <c r="G65" s="2716" t="s">
        <v>2777</v>
      </c>
      <c r="H65" s="1117">
        <f>项目基本情况!C37</f>
        <v>0</v>
      </c>
      <c r="I65" s="1113">
        <f>SUMIF(修正!A45:A56,H65,修正!H45:H56)</f>
        <v>0</v>
      </c>
      <c r="J65" s="1116"/>
      <c r="K65" s="1147"/>
      <c r="L65" s="944"/>
      <c r="M65" s="944"/>
      <c r="N65" s="944"/>
      <c r="O65" s="944"/>
    </row>
    <row r="66" spans="1:17" s="692" customFormat="1" ht="13.5" thickBot="1">
      <c r="A66" s="695" t="s">
        <v>2784</v>
      </c>
      <c r="B66" s="696" t="s">
        <v>28</v>
      </c>
      <c r="C66" s="696" t="s">
        <v>29</v>
      </c>
      <c r="D66" s="696" t="s">
        <v>1029</v>
      </c>
      <c r="E66" s="696">
        <f>IF(B46="楼面地价",SUM(E56:E65),'数据-汇总表'!D3)</f>
        <v>2876.99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2677</v>
      </c>
      <c r="B69" s="759"/>
      <c r="C69" s="764"/>
      <c r="D69" s="764"/>
      <c r="E69" s="764"/>
      <c r="F69" s="765"/>
      <c r="G69" s="765"/>
      <c r="H69" s="764"/>
      <c r="I69" s="764"/>
      <c r="J69" s="1162"/>
      <c r="K69" s="1163"/>
      <c r="L69" s="1164"/>
      <c r="M69" s="1162"/>
      <c r="N69" s="1162"/>
      <c r="O69" s="1162"/>
      <c r="P69" s="503"/>
      <c r="Q69" s="504"/>
    </row>
    <row r="70" spans="1:17" s="508" customFormat="1" ht="15">
      <c r="A70" s="2717" t="s">
        <v>2785</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8" t="s">
        <v>2786</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2588</v>
      </c>
      <c r="B72" s="516"/>
      <c r="C72" s="517"/>
      <c r="D72" s="518"/>
      <c r="E72" s="518"/>
      <c r="F72" s="518"/>
      <c r="G72" s="518"/>
      <c r="H72" s="518"/>
      <c r="I72" s="518"/>
      <c r="J72" s="518"/>
      <c r="K72" s="518"/>
      <c r="L72" s="518"/>
      <c r="M72" s="519"/>
      <c r="N72" s="518"/>
      <c r="O72" s="1165"/>
      <c r="P72" s="504"/>
      <c r="Q72" s="504"/>
    </row>
    <row r="73" spans="1:17" s="117" customFormat="1" ht="15">
      <c r="A73" s="521" t="s">
        <v>2553</v>
      </c>
      <c r="B73" s="510"/>
      <c r="C73" s="522" t="s">
        <v>2655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2591</v>
      </c>
      <c r="B75" s="528" t="s">
        <v>2557</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2787</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2788</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2789</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2566</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2795</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2797</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2798</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2330</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76" t="s">
        <v>2800</v>
      </c>
      <c r="D6" s="3277"/>
      <c r="E6" s="3278" t="s">
        <v>2800</v>
      </c>
      <c r="F6" s="3279"/>
      <c r="G6" s="3276" t="s">
        <v>2800</v>
      </c>
      <c r="H6" s="3277"/>
      <c r="I6" s="3276" t="s">
        <v>2800</v>
      </c>
      <c r="J6" s="3277"/>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131</v>
      </c>
      <c r="G10" s="432"/>
      <c r="H10" s="136">
        <f>ROUND(100/'数据-取费表'!G16,0)</f>
        <v>131</v>
      </c>
      <c r="I10" s="432"/>
      <c r="J10" s="136">
        <f>ROUND(100/'数据-取费表'!G16,0)</f>
        <v>131</v>
      </c>
      <c r="K10" s="672"/>
      <c r="L10" s="1138"/>
      <c r="M10" s="1139"/>
      <c r="N10" s="1139"/>
      <c r="O10" s="1140"/>
      <c r="P10" s="3213"/>
      <c r="Q10" s="1798" t="str">
        <f t="shared" si="6"/>
        <v>土地使用年限（年）</v>
      </c>
      <c r="R10" s="770" t="s">
        <v>17</v>
      </c>
      <c r="S10" s="771">
        <f t="shared" si="0"/>
        <v>131</v>
      </c>
      <c r="T10" s="770" t="s">
        <v>17</v>
      </c>
      <c r="U10" s="771">
        <f t="shared" si="1"/>
        <v>131</v>
      </c>
      <c r="V10" s="770" t="s">
        <v>17</v>
      </c>
      <c r="W10" s="771">
        <f t="shared" si="2"/>
        <v>131</v>
      </c>
      <c r="X10" s="772"/>
      <c r="Y10" s="3034"/>
      <c r="Z10" s="55" t="str">
        <f t="shared" si="7"/>
        <v>土地使用年限（年）</v>
      </c>
      <c r="AA10" s="773">
        <f t="shared" si="3"/>
        <v>0.76335877862595425</v>
      </c>
      <c r="AB10" s="773">
        <f t="shared" si="4"/>
        <v>0.76335877862595425</v>
      </c>
      <c r="AC10" s="773">
        <f t="shared" si="5"/>
        <v>0.76335877862595425</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57">
      <c r="A15" s="440" t="s">
        <v>2562</v>
      </c>
      <c r="B15" s="629" t="s">
        <v>2801</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5" t="s">
        <v>2563</v>
      </c>
      <c r="Q15" s="1813" t="str">
        <f t="shared" si="6"/>
        <v>产业集聚程度</v>
      </c>
      <c r="R15" s="774" t="s">
        <v>17</v>
      </c>
      <c r="S15" s="775">
        <f t="shared" si="0"/>
        <v>100</v>
      </c>
      <c r="T15" s="774" t="s">
        <v>17</v>
      </c>
      <c r="U15" s="775">
        <f t="shared" si="1"/>
        <v>100</v>
      </c>
      <c r="V15" s="774" t="s">
        <v>17</v>
      </c>
      <c r="W15" s="775">
        <f t="shared" si="2"/>
        <v>100</v>
      </c>
      <c r="X15" s="1816"/>
      <c r="Y15" s="3215"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216"/>
      <c r="Q16" s="1813"/>
      <c r="R16" s="774"/>
      <c r="S16" s="775"/>
      <c r="T16" s="774"/>
      <c r="U16" s="775"/>
      <c r="V16" s="774"/>
      <c r="W16" s="775"/>
      <c r="X16" s="1816"/>
      <c r="Y16" s="3216"/>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6"/>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216"/>
      <c r="Q18" s="1813"/>
      <c r="R18" s="774"/>
      <c r="S18" s="775"/>
      <c r="T18" s="774"/>
      <c r="U18" s="775"/>
      <c r="V18" s="774"/>
      <c r="W18" s="775"/>
      <c r="X18" s="1816"/>
      <c r="Y18" s="3216"/>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6"/>
      <c r="Q19" s="1813" t="str">
        <f t="shared" ref="Q19:Q33" si="8">B19</f>
        <v>区域土地利用方向</v>
      </c>
      <c r="R19" s="774" t="s">
        <v>17</v>
      </c>
      <c r="S19" s="775">
        <f>F19</f>
        <v>100</v>
      </c>
      <c r="T19" s="774" t="s">
        <v>17</v>
      </c>
      <c r="U19" s="775">
        <f>H19</f>
        <v>100</v>
      </c>
      <c r="V19" s="774" t="s">
        <v>17</v>
      </c>
      <c r="W19" s="775">
        <f>J19</f>
        <v>100</v>
      </c>
      <c r="X19" s="1816"/>
      <c r="Y19" s="321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216"/>
      <c r="Q20" s="1813"/>
      <c r="R20" s="774"/>
      <c r="S20" s="775"/>
      <c r="T20" s="774"/>
      <c r="U20" s="775"/>
      <c r="V20" s="774"/>
      <c r="W20" s="775"/>
      <c r="X20" s="1816"/>
      <c r="Y20" s="3216"/>
      <c r="Z20" s="1817"/>
      <c r="AA20" s="1814"/>
      <c r="AB20" s="1814"/>
      <c r="AC20" s="1814"/>
    </row>
    <row r="21" spans="1:29" ht="71.25">
      <c r="A21" s="404"/>
      <c r="B21" s="631" t="s">
        <v>2802</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6"/>
      <c r="Q21" s="1813" t="str">
        <f t="shared" si="8"/>
        <v>环境状况</v>
      </c>
      <c r="R21" s="774" t="s">
        <v>17</v>
      </c>
      <c r="S21" s="775">
        <f>F21</f>
        <v>100</v>
      </c>
      <c r="T21" s="774" t="s">
        <v>17</v>
      </c>
      <c r="U21" s="775">
        <f>H21</f>
        <v>100</v>
      </c>
      <c r="V21" s="774" t="s">
        <v>17</v>
      </c>
      <c r="W21" s="775">
        <f>J21</f>
        <v>100</v>
      </c>
      <c r="X21" s="1816"/>
      <c r="Y21" s="321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216"/>
      <c r="Q22" s="1813"/>
      <c r="R22" s="774"/>
      <c r="S22" s="775"/>
      <c r="T22" s="774"/>
      <c r="U22" s="775"/>
      <c r="V22" s="774"/>
      <c r="W22" s="775"/>
      <c r="X22" s="1816"/>
      <c r="Y22" s="3216"/>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6"/>
      <c r="Q23" s="1798" t="str">
        <f t="shared" si="8"/>
        <v>公共配套设施</v>
      </c>
      <c r="R23" s="770" t="s">
        <v>17</v>
      </c>
      <c r="S23" s="771">
        <f>F23</f>
        <v>100</v>
      </c>
      <c r="T23" s="770" t="s">
        <v>17</v>
      </c>
      <c r="U23" s="771">
        <f>H23</f>
        <v>100</v>
      </c>
      <c r="V23" s="770" t="s">
        <v>17</v>
      </c>
      <c r="W23" s="771">
        <f>J23</f>
        <v>100</v>
      </c>
      <c r="X23" s="772"/>
      <c r="Y23" s="321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216"/>
      <c r="Q24" s="1798"/>
      <c r="R24" s="770"/>
      <c r="S24" s="771"/>
      <c r="T24" s="770"/>
      <c r="U24" s="771"/>
      <c r="V24" s="770"/>
      <c r="W24" s="771"/>
      <c r="X24" s="772"/>
      <c r="Y24" s="3216"/>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6"/>
      <c r="Q25" s="1798" t="str">
        <f t="shared" ref="Q25" si="9">B25</f>
        <v>基础设施水平</v>
      </c>
      <c r="R25" s="770" t="s">
        <v>17</v>
      </c>
      <c r="S25" s="771">
        <f>F25</f>
        <v>100</v>
      </c>
      <c r="T25" s="770" t="s">
        <v>17</v>
      </c>
      <c r="U25" s="771">
        <f>H25</f>
        <v>100</v>
      </c>
      <c r="V25" s="770" t="s">
        <v>17</v>
      </c>
      <c r="W25" s="771">
        <f>J25</f>
        <v>100</v>
      </c>
      <c r="X25" s="772"/>
      <c r="Y25" s="321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216"/>
      <c r="Q26" s="1798"/>
      <c r="R26" s="770"/>
      <c r="S26" s="771"/>
      <c r="T26" s="770"/>
      <c r="U26" s="771"/>
      <c r="V26" s="770"/>
      <c r="W26" s="771"/>
      <c r="X26" s="772"/>
      <c r="Y26" s="3216"/>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6"/>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6"/>
      <c r="Q28" s="1813" t="str">
        <f t="shared" si="8"/>
        <v>毗邻道路的类型与等级</v>
      </c>
      <c r="R28" s="774" t="s">
        <v>17</v>
      </c>
      <c r="S28" s="775">
        <f t="shared" si="10"/>
        <v>100</v>
      </c>
      <c r="T28" s="774" t="s">
        <v>17</v>
      </c>
      <c r="U28" s="775">
        <f t="shared" si="11"/>
        <v>100</v>
      </c>
      <c r="V28" s="774" t="s">
        <v>17</v>
      </c>
      <c r="W28" s="775">
        <f t="shared" si="12"/>
        <v>100</v>
      </c>
      <c r="X28" s="1816"/>
      <c r="Y28" s="321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216"/>
      <c r="Q29" s="1813"/>
      <c r="R29" s="774"/>
      <c r="S29" s="775"/>
      <c r="T29" s="774"/>
      <c r="U29" s="775"/>
      <c r="V29" s="774"/>
      <c r="W29" s="775"/>
      <c r="X29" s="1816"/>
      <c r="Y29" s="3216"/>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6"/>
      <c r="Q30" s="1813" t="str">
        <f t="shared" si="8"/>
        <v>土地级别</v>
      </c>
      <c r="R30" s="774" t="s">
        <v>17</v>
      </c>
      <c r="S30" s="775">
        <f t="shared" si="10"/>
        <v>100</v>
      </c>
      <c r="T30" s="774" t="s">
        <v>17</v>
      </c>
      <c r="U30" s="775">
        <f t="shared" si="11"/>
        <v>100</v>
      </c>
      <c r="V30" s="774" t="s">
        <v>17</v>
      </c>
      <c r="W30" s="775">
        <f t="shared" si="12"/>
        <v>100</v>
      </c>
      <c r="X30" s="1816"/>
      <c r="Y30" s="321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6"/>
      <c r="Q31" s="1813">
        <f t="shared" si="8"/>
        <v>111</v>
      </c>
      <c r="R31" s="774" t="s">
        <v>17</v>
      </c>
      <c r="S31" s="775">
        <f t="shared" si="10"/>
        <v>100</v>
      </c>
      <c r="T31" s="774" t="s">
        <v>17</v>
      </c>
      <c r="U31" s="775">
        <f t="shared" si="11"/>
        <v>100</v>
      </c>
      <c r="V31" s="774" t="s">
        <v>17</v>
      </c>
      <c r="W31" s="775">
        <f t="shared" si="12"/>
        <v>100</v>
      </c>
      <c r="X31" s="1816"/>
      <c r="Y31" s="321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1" t="s">
        <v>2568</v>
      </c>
      <c r="Q32" s="1813">
        <f t="shared" si="8"/>
        <v>111</v>
      </c>
      <c r="R32" s="774" t="s">
        <v>17</v>
      </c>
      <c r="S32" s="775">
        <f t="shared" si="10"/>
        <v>100</v>
      </c>
      <c r="T32" s="774" t="s">
        <v>17</v>
      </c>
      <c r="U32" s="775">
        <f t="shared" si="11"/>
        <v>100</v>
      </c>
      <c r="V32" s="774" t="s">
        <v>17</v>
      </c>
      <c r="W32" s="775">
        <f t="shared" si="12"/>
        <v>100</v>
      </c>
      <c r="X32" s="1816"/>
      <c r="Y32" s="3220"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0"/>
      <c r="Q33" s="1813">
        <f t="shared" si="8"/>
        <v>111</v>
      </c>
      <c r="R33" s="777" t="s">
        <v>17</v>
      </c>
      <c r="S33" s="778">
        <f t="shared" si="10"/>
        <v>100</v>
      </c>
      <c r="T33" s="777" t="s">
        <v>17</v>
      </c>
      <c r="U33" s="778">
        <f t="shared" si="11"/>
        <v>100</v>
      </c>
      <c r="V33" s="777" t="s">
        <v>17</v>
      </c>
      <c r="W33" s="778">
        <f t="shared" si="12"/>
        <v>100</v>
      </c>
      <c r="X33" s="779"/>
      <c r="Y33" s="3220"/>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0"/>
      <c r="Q34" s="1813" t="str">
        <f>B34</f>
        <v>宗地面积</v>
      </c>
      <c r="R34" s="774" t="s">
        <v>17</v>
      </c>
      <c r="S34" s="775" t="e">
        <f t="shared" si="10"/>
        <v>#N/A</v>
      </c>
      <c r="T34" s="774" t="s">
        <v>17</v>
      </c>
      <c r="U34" s="775" t="e">
        <f t="shared" si="11"/>
        <v>#N/A</v>
      </c>
      <c r="V34" s="774" t="s">
        <v>17</v>
      </c>
      <c r="W34" s="775" t="e">
        <f t="shared" si="12"/>
        <v>#N/A</v>
      </c>
      <c r="X34" s="1816"/>
      <c r="Y34" s="3220"/>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20"/>
      <c r="Q35" s="1813" t="str">
        <f t="shared" ref="Q35:Q40" si="14">B35</f>
        <v>宗地形状</v>
      </c>
      <c r="R35" s="774" t="s">
        <v>17</v>
      </c>
      <c r="S35" s="775">
        <f t="shared" si="10"/>
        <v>100</v>
      </c>
      <c r="T35" s="774" t="s">
        <v>17</v>
      </c>
      <c r="U35" s="775">
        <f t="shared" si="11"/>
        <v>100</v>
      </c>
      <c r="V35" s="774" t="s">
        <v>17</v>
      </c>
      <c r="W35" s="775">
        <f t="shared" si="12"/>
        <v>100</v>
      </c>
      <c r="X35" s="1816"/>
      <c r="Y35" s="3220"/>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20"/>
      <c r="Q36" s="1813" t="str">
        <f t="shared" si="14"/>
        <v>宗地开发程度</v>
      </c>
      <c r="R36" s="770" t="s">
        <v>17</v>
      </c>
      <c r="S36" s="771">
        <f t="shared" si="10"/>
        <v>100</v>
      </c>
      <c r="T36" s="770" t="s">
        <v>17</v>
      </c>
      <c r="U36" s="771">
        <f t="shared" si="11"/>
        <v>100</v>
      </c>
      <c r="V36" s="770" t="s">
        <v>17</v>
      </c>
      <c r="W36" s="771">
        <f t="shared" si="12"/>
        <v>100</v>
      </c>
      <c r="X36" s="772"/>
      <c r="Y36" s="3220"/>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20" t="s">
        <v>2568</v>
      </c>
      <c r="Q37" s="1813" t="str">
        <f t="shared" si="14"/>
        <v>工程地质条件</v>
      </c>
      <c r="R37" s="774" t="s">
        <v>17</v>
      </c>
      <c r="S37" s="775">
        <f t="shared" si="10"/>
        <v>100</v>
      </c>
      <c r="T37" s="774" t="s">
        <v>17</v>
      </c>
      <c r="U37" s="775">
        <f t="shared" si="11"/>
        <v>100</v>
      </c>
      <c r="V37" s="774" t="s">
        <v>17</v>
      </c>
      <c r="W37" s="775">
        <f t="shared" si="12"/>
        <v>100</v>
      </c>
      <c r="X37" s="1816"/>
      <c r="Y37" s="3220"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0"/>
      <c r="Q38" s="1813">
        <f t="shared" si="14"/>
        <v>111</v>
      </c>
      <c r="R38" s="774" t="s">
        <v>17</v>
      </c>
      <c r="S38" s="775">
        <f t="shared" si="10"/>
        <v>100</v>
      </c>
      <c r="T38" s="774" t="s">
        <v>17</v>
      </c>
      <c r="U38" s="775">
        <f t="shared" si="11"/>
        <v>100</v>
      </c>
      <c r="V38" s="774" t="s">
        <v>17</v>
      </c>
      <c r="W38" s="775">
        <f t="shared" si="12"/>
        <v>100</v>
      </c>
      <c r="X38" s="1816"/>
      <c r="Y38" s="322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0"/>
      <c r="Q39" s="1813">
        <f t="shared" si="14"/>
        <v>111</v>
      </c>
      <c r="R39" s="774" t="s">
        <v>17</v>
      </c>
      <c r="S39" s="775">
        <f t="shared" si="10"/>
        <v>100</v>
      </c>
      <c r="T39" s="774" t="s">
        <v>17</v>
      </c>
      <c r="U39" s="775">
        <f t="shared" si="11"/>
        <v>100</v>
      </c>
      <c r="V39" s="774" t="s">
        <v>17</v>
      </c>
      <c r="W39" s="775">
        <f t="shared" si="12"/>
        <v>100</v>
      </c>
      <c r="X39" s="1816"/>
      <c r="Y39" s="3220"/>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0"/>
      <c r="Q40" s="1813">
        <f t="shared" si="14"/>
        <v>111</v>
      </c>
      <c r="R40" s="777" t="s">
        <v>17</v>
      </c>
      <c r="S40" s="778">
        <f t="shared" si="10"/>
        <v>100</v>
      </c>
      <c r="T40" s="777" t="s">
        <v>17</v>
      </c>
      <c r="U40" s="778">
        <f t="shared" si="11"/>
        <v>100</v>
      </c>
      <c r="V40" s="777" t="s">
        <v>17</v>
      </c>
      <c r="W40" s="778">
        <f t="shared" si="12"/>
        <v>100</v>
      </c>
      <c r="X40" s="779"/>
      <c r="Y40" s="3220"/>
      <c r="Z40" s="780">
        <f t="shared" si="13"/>
        <v>111</v>
      </c>
      <c r="AA40" s="1814">
        <f t="shared" si="3"/>
        <v>1</v>
      </c>
      <c r="AB40" s="1814">
        <f t="shared" si="4"/>
        <v>1</v>
      </c>
      <c r="AC40" s="1814">
        <f t="shared" si="5"/>
        <v>1</v>
      </c>
    </row>
    <row r="41" spans="1:29" ht="15">
      <c r="A41" s="479" t="s">
        <v>2723</v>
      </c>
      <c r="B41" s="2710" t="s">
        <v>2803</v>
      </c>
      <c r="C41" s="682" t="s">
        <v>1</v>
      </c>
      <c r="D41" s="481"/>
      <c r="E41" s="482"/>
      <c r="F41" s="483"/>
      <c r="G41" s="484"/>
      <c r="H41" s="485"/>
      <c r="I41" s="482"/>
      <c r="J41" s="485"/>
      <c r="K41" s="783"/>
      <c r="L41" s="1146"/>
      <c r="M41" s="1134"/>
      <c r="N41" s="1134"/>
      <c r="O41" s="1147"/>
      <c r="P41" s="3213" t="str">
        <f>A41</f>
        <v>成交单价</v>
      </c>
      <c r="Q41" s="3213"/>
      <c r="R41" s="3244">
        <f>E41</f>
        <v>0</v>
      </c>
      <c r="S41" s="3244"/>
      <c r="T41" s="3244">
        <f>G41</f>
        <v>0</v>
      </c>
      <c r="U41" s="3244"/>
      <c r="V41" s="3244">
        <f>I41</f>
        <v>0</v>
      </c>
      <c r="W41" s="3244"/>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213" t="str">
        <f>A42</f>
        <v>比较价值（元/平方米）</v>
      </c>
      <c r="Q42" s="3213"/>
      <c r="R42" s="3272" t="e">
        <f>ROUND(PRODUCT(R41,AA7:AA40),0)</f>
        <v>#DIV/0!</v>
      </c>
      <c r="S42" s="3272"/>
      <c r="T42" s="3272" t="e">
        <f>ROUND(PRODUCT(T41,AB7:AB40),0)</f>
        <v>#DIV/0!</v>
      </c>
      <c r="U42" s="3272"/>
      <c r="V42" s="3272" t="e">
        <f>ROUND(PRODUCT(V41,AC7:AC40),0)</f>
        <v>#DIV/0!</v>
      </c>
      <c r="W42" s="3272"/>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210" t="str">
        <f>A43</f>
        <v>估价对象XX用房的比较价值（楼面单价，元/平方米）</v>
      </c>
      <c r="Q43" s="3211"/>
      <c r="R43" s="3273" t="e">
        <f>ROUND(AVERAGE(R42:V42),0)</f>
        <v>#DIV/0!</v>
      </c>
      <c r="S43" s="3273"/>
      <c r="T43" s="3273"/>
      <c r="U43" s="3273"/>
      <c r="V43" s="3273"/>
      <c r="W43" s="327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2761</v>
      </c>
      <c r="B50" s="685" t="s">
        <v>2762</v>
      </c>
      <c r="C50" s="2711" t="s">
        <v>2763</v>
      </c>
      <c r="D50" s="2712" t="s">
        <v>2764</v>
      </c>
      <c r="E50" s="686" t="s">
        <v>2765</v>
      </c>
      <c r="F50" s="687" t="s">
        <v>2766</v>
      </c>
      <c r="G50" s="3228" t="s">
        <v>2767</v>
      </c>
      <c r="H50" s="3274"/>
      <c r="I50" s="1817" t="s">
        <v>2804</v>
      </c>
      <c r="J50" s="1817">
        <f>项目基本情况!F35</f>
        <v>0</v>
      </c>
      <c r="K50" s="2714" t="s">
        <v>2769</v>
      </c>
      <c r="L50" s="1109"/>
      <c r="M50" s="1147"/>
      <c r="N50" s="1147"/>
      <c r="O50" s="1147"/>
    </row>
    <row r="51" spans="1:17" s="692" customFormat="1">
      <c r="A51" s="688" t="s">
        <v>2770</v>
      </c>
      <c r="B51" s="689" t="e">
        <f>C43</f>
        <v>#DIV/0!</v>
      </c>
      <c r="C51" s="690">
        <v>1</v>
      </c>
      <c r="D51" s="1166">
        <v>1</v>
      </c>
      <c r="E51" s="690">
        <f>'数据-汇总表'!E8+'数据-汇总表'!E9</f>
        <v>2876.99</v>
      </c>
      <c r="F51" s="691" t="e">
        <f t="shared" ref="F51:F60" si="15">ROUND(B51*E51/10000,0)</f>
        <v>#DIV/0!</v>
      </c>
      <c r="G51" s="3224"/>
      <c r="H51" s="3213"/>
      <c r="I51" s="945">
        <v>1</v>
      </c>
      <c r="J51" s="945">
        <v>1</v>
      </c>
      <c r="K51" s="1148"/>
      <c r="L51" s="944"/>
      <c r="M51" s="944"/>
      <c r="N51" s="944"/>
      <c r="O51" s="944"/>
    </row>
    <row r="52" spans="1:17" s="692" customFormat="1">
      <c r="A52" s="693" t="s">
        <v>2771</v>
      </c>
      <c r="B52" s="262" t="e">
        <f>ROUND($C$43*C52*D52,0)</f>
        <v>#DIV/0!</v>
      </c>
      <c r="C52" s="200">
        <f t="shared" ref="C52:C60" si="16">IF($C$50="北京市系数",I52,J52)</f>
        <v>0.7</v>
      </c>
      <c r="D52" s="1167">
        <v>0.25</v>
      </c>
      <c r="E52" s="694"/>
      <c r="F52" s="691" t="e">
        <f t="shared" si="15"/>
        <v>#DIV/0!</v>
      </c>
      <c r="G52" s="3275" t="s">
        <v>2772</v>
      </c>
      <c r="H52" s="1107" t="str">
        <f>项目基本情况!B37</f>
        <v>六级</v>
      </c>
      <c r="I52" s="945">
        <f>SUMIF(修正!A45:A56,H52,修正!B45:B56)</f>
        <v>0.7</v>
      </c>
      <c r="J52" s="946"/>
      <c r="K52" s="1147"/>
      <c r="L52" s="944"/>
      <c r="M52" s="944"/>
      <c r="N52" s="944"/>
      <c r="O52" s="944"/>
    </row>
    <row r="53" spans="1:17" s="692" customFormat="1">
      <c r="A53" s="693" t="s">
        <v>2773</v>
      </c>
      <c r="B53" s="262" t="e">
        <f t="shared" ref="B53:B60" si="17">ROUND($C$43*C53*D53,0)</f>
        <v>#DIV/0!</v>
      </c>
      <c r="C53" s="200">
        <f t="shared" si="16"/>
        <v>0.4</v>
      </c>
      <c r="D53" s="1167">
        <v>0.25</v>
      </c>
      <c r="E53" s="694"/>
      <c r="F53" s="691" t="e">
        <f t="shared" si="15"/>
        <v>#DIV/0!</v>
      </c>
      <c r="G53" s="3275"/>
      <c r="H53" s="1107" t="str">
        <f>项目基本情况!B37</f>
        <v>六级</v>
      </c>
      <c r="I53" s="945">
        <f>SUMIF(修正!A45:A56,H53,修正!C45:C56)</f>
        <v>0.4</v>
      </c>
      <c r="J53" s="946"/>
      <c r="K53" s="1148"/>
      <c r="L53" s="944"/>
      <c r="M53" s="944"/>
      <c r="N53" s="944"/>
      <c r="O53" s="944"/>
    </row>
    <row r="54" spans="1:17" s="692" customFormat="1">
      <c r="A54" s="693" t="s">
        <v>2774</v>
      </c>
      <c r="B54" s="262" t="e">
        <f t="shared" si="17"/>
        <v>#DIV/0!</v>
      </c>
      <c r="C54" s="200">
        <f t="shared" si="16"/>
        <v>0.28000000000000003</v>
      </c>
      <c r="D54" s="1167">
        <v>0.25</v>
      </c>
      <c r="E54" s="694"/>
      <c r="F54" s="691" t="e">
        <f t="shared" si="15"/>
        <v>#DIV/0!</v>
      </c>
      <c r="G54" s="3275"/>
      <c r="H54" s="1107" t="str">
        <f>项目基本情况!B37</f>
        <v>六级</v>
      </c>
      <c r="I54" s="945">
        <f>SUMIF(修正!A45:A56,H54,修正!D45:D56)</f>
        <v>0.28000000000000003</v>
      </c>
      <c r="J54" s="946"/>
      <c r="K54" s="1147"/>
      <c r="L54" s="944"/>
      <c r="M54" s="944"/>
      <c r="N54" s="944"/>
      <c r="O54" s="944"/>
    </row>
    <row r="55" spans="1:17" s="692" customFormat="1">
      <c r="A55" s="693" t="s">
        <v>2775</v>
      </c>
      <c r="B55" s="262" t="e">
        <f t="shared" si="17"/>
        <v>#DIV/0!</v>
      </c>
      <c r="C55" s="200">
        <f t="shared" si="16"/>
        <v>0.25</v>
      </c>
      <c r="D55" s="1167">
        <v>0.25</v>
      </c>
      <c r="E55" s="694"/>
      <c r="F55" s="691" t="e">
        <f t="shared" si="15"/>
        <v>#DIV/0!</v>
      </c>
      <c r="G55" s="3275"/>
      <c r="H55" s="1107" t="str">
        <f>项目基本情况!B37</f>
        <v>六级</v>
      </c>
      <c r="I55" s="945">
        <f>SUMIF(修正!A45:A56,H55,修正!E45:E56)</f>
        <v>0.25</v>
      </c>
      <c r="J55" s="946"/>
      <c r="K55" s="1148"/>
      <c r="L55" s="944"/>
      <c r="M55" s="944"/>
      <c r="N55" s="944"/>
      <c r="O55" s="944"/>
    </row>
    <row r="56" spans="1:17" s="692" customFormat="1">
      <c r="A56" s="693" t="s">
        <v>2776</v>
      </c>
      <c r="B56" s="262" t="e">
        <f t="shared" si="17"/>
        <v>#DIV/0!</v>
      </c>
      <c r="C56" s="200">
        <f t="shared" si="16"/>
        <v>0</v>
      </c>
      <c r="D56" s="1167">
        <v>0.25</v>
      </c>
      <c r="E56" s="261">
        <f>'数据-汇总表'!E11</f>
        <v>0</v>
      </c>
      <c r="F56" s="691" t="e">
        <f t="shared" si="15"/>
        <v>#DIV/0!</v>
      </c>
      <c r="G56" s="2715" t="s">
        <v>2777</v>
      </c>
      <c r="H56" s="1107">
        <f>项目基本情况!C37</f>
        <v>0</v>
      </c>
      <c r="I56" s="945">
        <f>SUMIF(修正!A45:A56,H56,修正!F45:F56)</f>
        <v>0</v>
      </c>
      <c r="J56" s="946"/>
      <c r="K56" s="1147"/>
      <c r="L56" s="944"/>
      <c r="M56" s="944"/>
      <c r="N56" s="944"/>
      <c r="O56" s="944"/>
    </row>
    <row r="57" spans="1:17" s="692" customFormat="1">
      <c r="A57" s="693" t="s">
        <v>2778</v>
      </c>
      <c r="B57" s="262" t="e">
        <f t="shared" si="17"/>
        <v>#DIV/0!</v>
      </c>
      <c r="C57" s="200">
        <f t="shared" si="16"/>
        <v>0</v>
      </c>
      <c r="D57" s="1167">
        <v>0.25</v>
      </c>
      <c r="E57" s="261">
        <f>'数据-汇总表'!E12</f>
        <v>0</v>
      </c>
      <c r="F57" s="691" t="e">
        <f t="shared" si="15"/>
        <v>#DIV/0!</v>
      </c>
      <c r="G57" s="1112" t="s">
        <v>2779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2780</v>
      </c>
      <c r="B58" s="262" t="e">
        <f t="shared" si="17"/>
        <v>#DIV/0!</v>
      </c>
      <c r="C58" s="200">
        <f t="shared" si="16"/>
        <v>0</v>
      </c>
      <c r="D58" s="1167">
        <v>0.25</v>
      </c>
      <c r="E58" s="261">
        <f>'数据-汇总表'!E13</f>
        <v>0</v>
      </c>
      <c r="F58" s="691" t="e">
        <f t="shared" si="15"/>
        <v>#DIV/0!</v>
      </c>
      <c r="G58" s="1112" t="s">
        <v>2781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2782</v>
      </c>
      <c r="B59" s="262" t="e">
        <f t="shared" si="17"/>
        <v>#DIV/0!</v>
      </c>
      <c r="C59" s="200">
        <f t="shared" si="16"/>
        <v>0.2</v>
      </c>
      <c r="D59" s="1167">
        <v>0.25</v>
      </c>
      <c r="E59" s="261">
        <f>'数据-汇总表'!E14</f>
        <v>0</v>
      </c>
      <c r="F59" s="691" t="e">
        <f t="shared" si="15"/>
        <v>#DIV/0!</v>
      </c>
      <c r="G59" s="2715" t="s">
        <v>2772</v>
      </c>
      <c r="H59" s="1107" t="str">
        <f>项目基本情况!B37</f>
        <v>六级</v>
      </c>
      <c r="I59" s="945">
        <f>SUMIF(修正!A45:A56,H59,修正!H45:H56)</f>
        <v>0.2</v>
      </c>
      <c r="J59" s="946"/>
      <c r="K59" s="1148"/>
      <c r="L59" s="944"/>
      <c r="M59" s="944"/>
      <c r="N59" s="944"/>
      <c r="O59" s="944"/>
    </row>
    <row r="60" spans="1:17" s="692" customFormat="1" ht="15" thickBot="1">
      <c r="A60" s="693" t="s">
        <v>2783</v>
      </c>
      <c r="B60" s="262" t="e">
        <f t="shared" si="17"/>
        <v>#DIV/0!</v>
      </c>
      <c r="C60" s="200">
        <f t="shared" si="16"/>
        <v>0</v>
      </c>
      <c r="D60" s="1167">
        <v>0.25</v>
      </c>
      <c r="E60" s="261">
        <f>'数据-汇总表'!E15</f>
        <v>0</v>
      </c>
      <c r="F60" s="691" t="e">
        <f t="shared" si="15"/>
        <v>#DIV/0!</v>
      </c>
      <c r="G60" s="2716" t="s">
        <v>2777</v>
      </c>
      <c r="H60" s="1117">
        <f>项目基本情况!C37</f>
        <v>0</v>
      </c>
      <c r="I60" s="945">
        <f>SUMIF(修正!A45:A56,H60,修正!H45:H56)</f>
        <v>0</v>
      </c>
      <c r="J60" s="946"/>
      <c r="K60" s="1147"/>
      <c r="L60" s="944"/>
      <c r="M60" s="944"/>
      <c r="N60" s="944"/>
      <c r="O60" s="944"/>
    </row>
    <row r="61" spans="1:17" s="692" customFormat="1" ht="15" thickBot="1">
      <c r="A61" s="695" t="s">
        <v>2784</v>
      </c>
      <c r="B61" s="696" t="s">
        <v>28</v>
      </c>
      <c r="C61" s="696" t="s">
        <v>29</v>
      </c>
      <c r="D61" s="696" t="s">
        <v>1029</v>
      </c>
      <c r="E61" s="696">
        <f>IF(B41="楼面地价",SUM(E51:E60),'数据-汇总表'!D3)</f>
        <v>478.53</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2785</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2" t="s">
        <v>2805</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C33" sqref="C3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0" width="12" style="2726"/>
    <col min="21" max="21" width="13.875" style="2726" bestFit="1" customWidth="1"/>
    <col min="22"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1178.46</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2117</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v>959</v>
      </c>
      <c r="V2" s="1605">
        <f ca="1">ROUND(T2*U2/10000,0)</f>
        <v>1949</v>
      </c>
      <c r="W2" s="1609"/>
      <c r="X2" s="1609"/>
      <c r="Y2" s="1609"/>
      <c r="Z2" s="1609"/>
      <c r="AA2" s="1609"/>
      <c r="AB2" s="1609"/>
      <c r="AC2" s="1610"/>
      <c r="AD2" s="1611"/>
      <c r="AE2" s="1611"/>
      <c r="AF2" s="1611"/>
      <c r="AG2" s="1611"/>
      <c r="AH2" s="1611"/>
      <c r="AI2" s="1611"/>
      <c r="AJ2" s="1612"/>
    </row>
    <row r="3" spans="1:36" ht="15.75">
      <c r="A3" s="247" t="s">
        <v>2821</v>
      </c>
      <c r="B3" s="248">
        <f ca="1">ROUND(B2*10000/D1,0)</f>
        <v>17964</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v>959</v>
      </c>
      <c r="V3" s="1605">
        <f t="shared" ref="V3:V16" ca="1" si="1">ROUND(T3*U3/10000,0)</f>
        <v>1399</v>
      </c>
      <c r="W3" s="1609"/>
      <c r="X3" s="1609"/>
      <c r="Y3" s="1609"/>
      <c r="Z3" s="1609"/>
      <c r="AA3" s="1609"/>
      <c r="AB3" s="1609"/>
      <c r="AC3" s="1610"/>
      <c r="AD3" s="1611"/>
      <c r="AE3" s="1611"/>
      <c r="AF3" s="1611"/>
      <c r="AG3" s="1611"/>
      <c r="AH3" s="1611"/>
      <c r="AI3" s="1611"/>
      <c r="AJ3" s="1612"/>
    </row>
    <row r="4" spans="1:36" ht="15.75">
      <c r="A4" s="3283"/>
      <c r="B4" s="3284"/>
      <c r="C4" s="3284"/>
      <c r="D4" s="3285"/>
      <c r="E4" s="3285"/>
      <c r="F4" s="3285"/>
      <c r="G4" s="3285"/>
      <c r="H4" s="3285"/>
      <c r="I4" s="3285"/>
      <c r="J4" s="3286"/>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v>959</v>
      </c>
      <c r="V4" s="1605">
        <f t="shared" ca="1" si="1"/>
        <v>1129</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87"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1819" t="s">
        <v>2838</v>
      </c>
      <c r="X7" s="1607" t="str">
        <f>G2</f>
        <v>六级</v>
      </c>
      <c r="Y7" s="1607" t="s">
        <v>2839</v>
      </c>
      <c r="Z7" s="1608">
        <f>G3</f>
        <v>6.01</v>
      </c>
      <c r="AA7" s="1609"/>
      <c r="AB7" s="1609"/>
      <c r="AC7" s="1610"/>
      <c r="AD7" s="1611"/>
      <c r="AE7" s="1611"/>
      <c r="AF7" s="1611"/>
      <c r="AG7" s="1611"/>
      <c r="AH7" s="1611"/>
      <c r="AI7" s="1611"/>
      <c r="AJ7" s="1612"/>
    </row>
    <row r="8" spans="1:36" ht="25.5">
      <c r="A8" s="3288"/>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80" t="s">
        <v>2843</v>
      </c>
      <c r="X8" s="3281"/>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88"/>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82"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8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82" t="s">
        <v>2867</v>
      </c>
      <c r="X11" s="1617" t="s">
        <v>2868</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87"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82"/>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9"/>
      <c r="B13" s="2770" t="s">
        <v>2874</v>
      </c>
      <c r="C13" s="2771" t="s">
        <v>2875</v>
      </c>
      <c r="D13" s="1811" t="s">
        <v>2876</v>
      </c>
      <c r="E13" s="181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82"/>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9"/>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0"/>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7" t="s">
        <v>2886</v>
      </c>
      <c r="B16" s="2751" t="s">
        <v>2887</v>
      </c>
      <c r="C16" s="1804">
        <f>ROUND(SUM(G17:J17)/C17,0)</f>
        <v>0</v>
      </c>
      <c r="D16" s="2785" t="s">
        <v>2888</v>
      </c>
      <c r="E16" s="2786" t="s">
        <v>3065</v>
      </c>
      <c r="F16" s="2787" t="s">
        <v>3068</v>
      </c>
      <c r="G16" s="2788" t="s">
        <v>70</v>
      </c>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8"/>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940">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1813" t="s">
        <v>2910</v>
      </c>
      <c r="D22" s="1813">
        <f>IF(E22=G22,F22,IF(G3&lt;=10,ROUND(F22+(H22-F22)*(G3-E22)/(G22-E22),4),"——"))</f>
        <v>0.79</v>
      </c>
      <c r="E22" s="916">
        <f>ROUNDDOWN(G3,1)</f>
        <v>6</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181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2117</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42</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v>959</v>
      </c>
      <c r="E29" s="945">
        <f ca="1">ROUND(C29*D29/10000,0)</f>
        <v>1949</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945">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97" t="s">
        <v>2933</v>
      </c>
      <c r="B33" s="2867" t="s">
        <v>2934</v>
      </c>
      <c r="C33" s="206">
        <f ca="1">ROUND(D5*C19*C20*C24*F33,0)</f>
        <v>7637</v>
      </c>
      <c r="D33" s="2851">
        <v>219.46</v>
      </c>
      <c r="E33" s="200">
        <f ca="1">ROUND(C33*D33/10000,0)</f>
        <v>168</v>
      </c>
      <c r="F33" s="200">
        <f>SUMIF(修正!A45:A56,G2,修正!B45:B56)</f>
        <v>0.7</v>
      </c>
      <c r="G33" s="200">
        <f t="shared" ref="G33" ca="1" si="6">ROUND(IF(E2="工业",C33*$M$39,C33*$M$38),0)</f>
        <v>1909</v>
      </c>
      <c r="H33" s="200">
        <f>D33</f>
        <v>219.46</v>
      </c>
      <c r="I33" s="200">
        <f ca="1">ROUND(G33*H33/10000,0)</f>
        <v>42</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8"/>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8"/>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99"/>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1812" t="s">
        <v>2946</v>
      </c>
      <c r="C47" s="1812" t="s">
        <v>2947</v>
      </c>
      <c r="D47" s="1812" t="s">
        <v>2948</v>
      </c>
      <c r="E47" s="819" t="s">
        <v>2949</v>
      </c>
      <c r="F47" s="2885" t="s">
        <v>2950</v>
      </c>
      <c r="G47" s="1812" t="s">
        <v>754</v>
      </c>
      <c r="H47" s="2886" t="s">
        <v>2951</v>
      </c>
      <c r="I47" s="1812"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3071</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3071</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3072</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3073</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3074</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3071</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3071</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3073</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3073</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1812"/>
      <c r="C58" s="1812" t="s">
        <v>2947</v>
      </c>
      <c r="D58" s="1812" t="s">
        <v>2948</v>
      </c>
      <c r="E58" s="819" t="s">
        <v>2949</v>
      </c>
      <c r="F58" s="2885" t="s">
        <v>2965</v>
      </c>
      <c r="G58" s="1812" t="s">
        <v>754</v>
      </c>
      <c r="H58" s="2886" t="s">
        <v>2951</v>
      </c>
      <c r="I58" s="1812"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1812"/>
      <c r="C69" s="1812" t="s">
        <v>2947</v>
      </c>
      <c r="D69" s="1812" t="s">
        <v>2948</v>
      </c>
      <c r="E69" s="819" t="s">
        <v>2949</v>
      </c>
      <c r="F69" s="2885" t="s">
        <v>2965</v>
      </c>
      <c r="G69" s="1812" t="s">
        <v>754</v>
      </c>
      <c r="H69" s="2886" t="s">
        <v>2951</v>
      </c>
      <c r="I69" s="1812"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1812"/>
      <c r="C80" s="1812" t="s">
        <v>2947</v>
      </c>
      <c r="D80" s="1812" t="s">
        <v>2948</v>
      </c>
      <c r="E80" s="819" t="s">
        <v>2949</v>
      </c>
      <c r="F80" s="2885" t="s">
        <v>2965</v>
      </c>
      <c r="G80" s="1812" t="s">
        <v>754</v>
      </c>
      <c r="H80" s="2886" t="s">
        <v>2951</v>
      </c>
      <c r="I80" s="1812"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91" t="s">
        <v>2975</v>
      </c>
      <c r="B90" s="3291"/>
      <c r="C90" s="3291"/>
      <c r="D90" s="3291"/>
      <c r="E90" s="3291"/>
      <c r="F90" s="3291"/>
      <c r="G90" s="3291"/>
      <c r="H90" s="3291"/>
      <c r="I90" s="3291"/>
      <c r="J90" s="3291"/>
      <c r="K90" s="2898"/>
      <c r="L90" s="2898"/>
      <c r="M90" s="2898"/>
      <c r="N90" s="2898"/>
    </row>
    <row r="91" spans="1:37">
      <c r="A91" s="3293" t="s">
        <v>2976</v>
      </c>
      <c r="B91" s="3293" t="s">
        <v>2977</v>
      </c>
      <c r="C91" s="2852" t="s">
        <v>2978</v>
      </c>
      <c r="D91" s="2853"/>
      <c r="E91" s="2853"/>
      <c r="F91" s="2853"/>
      <c r="G91" s="2853"/>
      <c r="H91" s="2853"/>
      <c r="I91" s="2853"/>
      <c r="J91" s="2899"/>
      <c r="K91" s="2900"/>
      <c r="L91" s="2900"/>
      <c r="M91" s="2900"/>
      <c r="N91" s="2900"/>
    </row>
    <row r="92" spans="1:37">
      <c r="A92" s="3293"/>
      <c r="B92" s="3293"/>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294"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5"/>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5"/>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5"/>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5"/>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5"/>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5"/>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96"/>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94"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95"/>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95"/>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95"/>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95"/>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95"/>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95"/>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95"/>
      <c r="B108" s="3149" t="s">
        <v>2982</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96"/>
      <c r="B109" s="3150"/>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92" t="s">
        <v>2983</v>
      </c>
      <c r="B110" s="3292"/>
      <c r="C110" s="3292"/>
      <c r="D110" s="3292"/>
      <c r="E110" s="3292"/>
      <c r="F110" s="3292"/>
      <c r="G110" s="3292"/>
      <c r="H110" s="3292"/>
      <c r="I110" s="3292"/>
      <c r="J110" s="3292"/>
      <c r="K110" s="2907"/>
      <c r="L110" s="2907"/>
      <c r="M110" s="2907"/>
      <c r="N110" s="2907"/>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0" t="s">
        <v>183</v>
      </c>
      <c r="B18" s="882" t="s">
        <v>560</v>
      </c>
      <c r="C18" s="883" t="s">
        <v>561</v>
      </c>
      <c r="D18" s="884"/>
      <c r="E18" s="882">
        <v>1</v>
      </c>
      <c r="F18" s="885" t="s">
        <v>562</v>
      </c>
      <c r="G18" s="886"/>
      <c r="H18" s="878"/>
      <c r="I18" s="878"/>
    </row>
    <row r="19" spans="1:9" s="887" customFormat="1" ht="19.5" customHeight="1">
      <c r="A19" s="3300"/>
      <c r="B19" s="3300" t="s">
        <v>563</v>
      </c>
      <c r="C19" s="883" t="s">
        <v>564</v>
      </c>
      <c r="D19" s="884"/>
      <c r="E19" s="882">
        <v>0.9</v>
      </c>
      <c r="F19" s="885" t="s">
        <v>565</v>
      </c>
      <c r="G19" s="886"/>
      <c r="H19" s="878"/>
      <c r="I19" s="878"/>
    </row>
    <row r="20" spans="1:9" s="887" customFormat="1" ht="19.5" customHeight="1">
      <c r="A20" s="3300"/>
      <c r="B20" s="3300"/>
      <c r="C20" s="883" t="s">
        <v>566</v>
      </c>
      <c r="D20" s="884"/>
      <c r="E20" s="882">
        <v>1.1000000000000001</v>
      </c>
      <c r="F20" s="885" t="s">
        <v>567</v>
      </c>
      <c r="G20" s="886"/>
      <c r="H20" s="878"/>
      <c r="I20" s="878"/>
    </row>
    <row r="21" spans="1:9" s="887" customFormat="1" ht="19.5" customHeight="1">
      <c r="A21" s="3300"/>
      <c r="B21" s="3300"/>
      <c r="C21" s="883" t="s">
        <v>568</v>
      </c>
      <c r="D21" s="884"/>
      <c r="E21" s="882">
        <v>0.8</v>
      </c>
      <c r="F21" s="885" t="s">
        <v>569</v>
      </c>
      <c r="G21" s="886"/>
      <c r="H21" s="878"/>
      <c r="I21" s="878"/>
    </row>
    <row r="22" spans="1:9" s="887" customFormat="1" ht="19.5" customHeight="1">
      <c r="A22" s="3300"/>
      <c r="B22" s="3300"/>
      <c r="C22" s="883" t="s">
        <v>570</v>
      </c>
      <c r="D22" s="884"/>
      <c r="E22" s="882">
        <v>0.5</v>
      </c>
      <c r="F22" s="885"/>
      <c r="G22" s="886"/>
      <c r="H22" s="878"/>
      <c r="I22" s="878"/>
    </row>
    <row r="23" spans="1:9" s="887" customFormat="1" ht="19.5" customHeight="1">
      <c r="A23" s="3300" t="s">
        <v>184</v>
      </c>
      <c r="B23" s="882" t="s">
        <v>560</v>
      </c>
      <c r="C23" s="883" t="s">
        <v>571</v>
      </c>
      <c r="D23" s="884"/>
      <c r="E23" s="882">
        <v>1</v>
      </c>
      <c r="F23" s="885" t="s">
        <v>572</v>
      </c>
      <c r="G23" s="886"/>
      <c r="H23" s="878"/>
      <c r="I23" s="878"/>
    </row>
    <row r="24" spans="1:9" s="887" customFormat="1" ht="19.5" customHeight="1">
      <c r="A24" s="3300"/>
      <c r="B24" s="3300" t="s">
        <v>563</v>
      </c>
      <c r="C24" s="883" t="s">
        <v>573</v>
      </c>
      <c r="D24" s="884"/>
      <c r="E24" s="882">
        <v>0.5</v>
      </c>
      <c r="F24" s="885"/>
      <c r="G24" s="886"/>
      <c r="H24" s="878"/>
      <c r="I24" s="878"/>
    </row>
    <row r="25" spans="1:9" s="887" customFormat="1" ht="19.5" customHeight="1">
      <c r="A25" s="3300"/>
      <c r="B25" s="3300"/>
      <c r="C25" s="883" t="s">
        <v>574</v>
      </c>
      <c r="D25" s="884"/>
      <c r="E25" s="882">
        <v>1.1000000000000001</v>
      </c>
      <c r="F25" s="885"/>
      <c r="G25" s="886"/>
      <c r="H25" s="878"/>
      <c r="I25" s="878"/>
    </row>
    <row r="26" spans="1:9" s="887" customFormat="1" ht="19.5" customHeight="1">
      <c r="A26" s="3300"/>
      <c r="B26" s="3300"/>
      <c r="C26" s="883" t="s">
        <v>575</v>
      </c>
      <c r="D26" s="884"/>
      <c r="E26" s="882">
        <v>1.1000000000000001</v>
      </c>
      <c r="F26" s="885"/>
      <c r="G26" s="886"/>
      <c r="H26" s="878"/>
      <c r="I26" s="878"/>
    </row>
    <row r="27" spans="1:9" s="887" customFormat="1" ht="19.5" customHeight="1">
      <c r="A27" s="3300"/>
      <c r="B27" s="3300"/>
      <c r="C27" s="883" t="s">
        <v>576</v>
      </c>
      <c r="D27" s="884"/>
      <c r="E27" s="882">
        <v>0.9</v>
      </c>
      <c r="F27" s="885" t="s">
        <v>577</v>
      </c>
      <c r="G27" s="886"/>
      <c r="H27" s="878"/>
      <c r="I27" s="878"/>
    </row>
    <row r="28" spans="1:9" s="887" customFormat="1" ht="19.5" customHeight="1">
      <c r="A28" s="3300"/>
      <c r="B28" s="3300"/>
      <c r="C28" s="883" t="s">
        <v>578</v>
      </c>
      <c r="D28" s="884"/>
      <c r="E28" s="882">
        <v>0.9</v>
      </c>
      <c r="F28" s="885" t="s">
        <v>579</v>
      </c>
      <c r="G28" s="886"/>
      <c r="H28" s="878"/>
      <c r="I28" s="878"/>
    </row>
    <row r="29" spans="1:9" s="887" customFormat="1" ht="19.5" customHeight="1">
      <c r="A29" s="3300"/>
      <c r="B29" s="3300"/>
      <c r="C29" s="883" t="s">
        <v>580</v>
      </c>
      <c r="D29" s="884"/>
      <c r="E29" s="882">
        <v>0.9</v>
      </c>
      <c r="F29" s="885" t="s">
        <v>581</v>
      </c>
      <c r="G29" s="886"/>
      <c r="H29" s="878"/>
      <c r="I29" s="878"/>
    </row>
    <row r="30" spans="1:9" s="887" customFormat="1" ht="19.5" customHeight="1">
      <c r="A30" s="3300"/>
      <c r="B30" s="3300"/>
      <c r="C30" s="883" t="s">
        <v>582</v>
      </c>
      <c r="D30" s="884"/>
      <c r="E30" s="882">
        <v>0.9</v>
      </c>
      <c r="F30" s="885" t="s">
        <v>583</v>
      </c>
      <c r="G30" s="886"/>
      <c r="H30" s="878"/>
      <c r="I30" s="878"/>
    </row>
    <row r="31" spans="1:9" s="887" customFormat="1" ht="19.5" customHeight="1">
      <c r="A31" s="3300"/>
      <c r="B31" s="3300"/>
      <c r="C31" s="883" t="s">
        <v>584</v>
      </c>
      <c r="D31" s="884"/>
      <c r="E31" s="882">
        <v>0.8</v>
      </c>
      <c r="F31" s="885" t="s">
        <v>585</v>
      </c>
      <c r="G31" s="886"/>
      <c r="H31" s="878"/>
      <c r="I31" s="878"/>
    </row>
    <row r="32" spans="1:9" s="887" customFormat="1" ht="19.5" customHeight="1">
      <c r="A32" s="3300"/>
      <c r="B32" s="3300"/>
      <c r="C32" s="883" t="s">
        <v>586</v>
      </c>
      <c r="D32" s="884"/>
      <c r="E32" s="882">
        <v>0.8</v>
      </c>
      <c r="F32" s="885" t="s">
        <v>587</v>
      </c>
      <c r="G32" s="886"/>
      <c r="H32" s="878"/>
      <c r="I32" s="878"/>
    </row>
    <row r="33" spans="1:9" s="887" customFormat="1" ht="19.5" customHeight="1">
      <c r="A33" s="3300" t="s">
        <v>185</v>
      </c>
      <c r="B33" s="882" t="s">
        <v>560</v>
      </c>
      <c r="C33" s="883" t="s">
        <v>588</v>
      </c>
      <c r="D33" s="884"/>
      <c r="E33" s="882">
        <v>1</v>
      </c>
      <c r="F33" s="885" t="s">
        <v>589</v>
      </c>
      <c r="G33" s="886"/>
      <c r="H33" s="878"/>
      <c r="I33" s="878"/>
    </row>
    <row r="34" spans="1:9" s="887" customFormat="1" ht="19.5" customHeight="1">
      <c r="A34" s="3300"/>
      <c r="B34" s="882" t="s">
        <v>563</v>
      </c>
      <c r="C34" s="883" t="s">
        <v>590</v>
      </c>
      <c r="D34" s="884"/>
      <c r="E34" s="882">
        <v>1.5</v>
      </c>
      <c r="F34" s="885" t="s">
        <v>591</v>
      </c>
      <c r="G34" s="886"/>
      <c r="H34" s="878"/>
      <c r="I34" s="878"/>
    </row>
    <row r="35" spans="1:9" s="887" customFormat="1" ht="19.5" customHeight="1">
      <c r="A35" s="3300" t="s">
        <v>186</v>
      </c>
      <c r="B35" s="882" t="s">
        <v>560</v>
      </c>
      <c r="C35" s="883" t="s">
        <v>592</v>
      </c>
      <c r="D35" s="884"/>
      <c r="E35" s="882">
        <v>1</v>
      </c>
      <c r="F35" s="885" t="s">
        <v>593</v>
      </c>
      <c r="G35" s="886"/>
      <c r="H35" s="878"/>
      <c r="I35" s="878"/>
    </row>
    <row r="36" spans="1:9" s="887" customFormat="1" ht="19.5" customHeight="1">
      <c r="A36" s="3300"/>
      <c r="B36" s="3300" t="s">
        <v>563</v>
      </c>
      <c r="C36" s="883" t="s">
        <v>594</v>
      </c>
      <c r="D36" s="884"/>
      <c r="E36" s="882">
        <v>1</v>
      </c>
      <c r="F36" s="885" t="s">
        <v>595</v>
      </c>
      <c r="G36" s="886"/>
      <c r="H36" s="878"/>
      <c r="I36" s="878"/>
    </row>
    <row r="37" spans="1:9" s="887" customFormat="1" ht="19.5" customHeight="1">
      <c r="A37" s="3300"/>
      <c r="B37" s="3300"/>
      <c r="C37" s="883" t="s">
        <v>596</v>
      </c>
      <c r="D37" s="884"/>
      <c r="E37" s="882">
        <v>1.5</v>
      </c>
      <c r="F37" s="885" t="s">
        <v>597</v>
      </c>
      <c r="G37" s="886"/>
      <c r="H37" s="878"/>
      <c r="I37" s="878"/>
    </row>
    <row r="38" spans="1:9" s="887" customFormat="1" ht="19.5" customHeight="1">
      <c r="A38" s="3300"/>
      <c r="B38" s="3300"/>
      <c r="C38" s="883" t="s">
        <v>598</v>
      </c>
      <c r="D38" s="884"/>
      <c r="E38" s="882">
        <v>1</v>
      </c>
      <c r="F38" s="885" t="s">
        <v>599</v>
      </c>
      <c r="G38" s="886"/>
      <c r="H38" s="878"/>
      <c r="I38" s="878"/>
    </row>
    <row r="39" spans="1:9" s="887" customFormat="1" ht="19.5" customHeight="1">
      <c r="A39" s="3300"/>
      <c r="B39" s="330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0" t="s">
        <v>614</v>
      </c>
      <c r="C61" s="818" t="s">
        <v>615</v>
      </c>
      <c r="D61" s="818" t="s">
        <v>616</v>
      </c>
      <c r="E61" s="895">
        <v>0.5</v>
      </c>
      <c r="F61" s="882">
        <v>80</v>
      </c>
    </row>
    <row r="62" spans="1:8" s="878" customFormat="1" ht="24">
      <c r="A62" s="882">
        <v>2</v>
      </c>
      <c r="B62" s="3300"/>
      <c r="C62" s="818" t="s">
        <v>617</v>
      </c>
      <c r="D62" s="818" t="s">
        <v>618</v>
      </c>
      <c r="E62" s="895">
        <v>0.5</v>
      </c>
      <c r="F62" s="882">
        <v>80</v>
      </c>
    </row>
    <row r="63" spans="1:8" s="878" customFormat="1" ht="36">
      <c r="A63" s="882">
        <v>3</v>
      </c>
      <c r="B63" s="3300"/>
      <c r="C63" s="818" t="s">
        <v>619</v>
      </c>
      <c r="D63" s="818" t="s">
        <v>620</v>
      </c>
      <c r="E63" s="895">
        <v>0.5</v>
      </c>
      <c r="F63" s="882">
        <v>80</v>
      </c>
    </row>
    <row r="64" spans="1:8" s="878" customFormat="1" ht="36">
      <c r="A64" s="882">
        <v>4</v>
      </c>
      <c r="B64" s="3300"/>
      <c r="C64" s="818" t="s">
        <v>621</v>
      </c>
      <c r="D64" s="818" t="s">
        <v>622</v>
      </c>
      <c r="E64" s="895">
        <v>0.4</v>
      </c>
      <c r="F64" s="882">
        <v>60</v>
      </c>
    </row>
    <row r="65" spans="1:6" s="878" customFormat="1" ht="36">
      <c r="A65" s="882">
        <v>5</v>
      </c>
      <c r="B65" s="3300"/>
      <c r="C65" s="818" t="s">
        <v>623</v>
      </c>
      <c r="D65" s="818" t="s">
        <v>624</v>
      </c>
      <c r="E65" s="895">
        <v>0.2</v>
      </c>
      <c r="F65" s="882">
        <v>30</v>
      </c>
    </row>
    <row r="66" spans="1:6" s="878" customFormat="1" ht="36">
      <c r="A66" s="882">
        <v>6</v>
      </c>
      <c r="B66" s="3300"/>
      <c r="C66" s="818" t="s">
        <v>625</v>
      </c>
      <c r="D66" s="818" t="s">
        <v>626</v>
      </c>
      <c r="E66" s="895">
        <v>0.3</v>
      </c>
      <c r="F66" s="882">
        <v>50</v>
      </c>
    </row>
    <row r="67" spans="1:6" s="878" customFormat="1" ht="36">
      <c r="A67" s="882">
        <v>7</v>
      </c>
      <c r="B67" s="3300"/>
      <c r="C67" s="818" t="s">
        <v>627</v>
      </c>
      <c r="D67" s="818" t="s">
        <v>628</v>
      </c>
      <c r="E67" s="895">
        <v>0.2</v>
      </c>
      <c r="F67" s="882">
        <v>30</v>
      </c>
    </row>
    <row r="68" spans="1:6" s="878" customFormat="1" ht="36">
      <c r="A68" s="882">
        <v>8</v>
      </c>
      <c r="B68" s="3300"/>
      <c r="C68" s="818" t="s">
        <v>629</v>
      </c>
      <c r="D68" s="818" t="s">
        <v>630</v>
      </c>
      <c r="E68" s="895">
        <v>0.2</v>
      </c>
      <c r="F68" s="882">
        <v>30</v>
      </c>
    </row>
    <row r="69" spans="1:6" s="878" customFormat="1" ht="36">
      <c r="A69" s="882">
        <v>9</v>
      </c>
      <c r="B69" s="3300"/>
      <c r="C69" s="818" t="s">
        <v>631</v>
      </c>
      <c r="D69" s="818" t="s">
        <v>632</v>
      </c>
      <c r="E69" s="895">
        <v>0.2</v>
      </c>
      <c r="F69" s="882">
        <v>30</v>
      </c>
    </row>
    <row r="70" spans="1:6" s="878" customFormat="1" ht="48">
      <c r="A70" s="882">
        <v>10</v>
      </c>
      <c r="B70" s="3300"/>
      <c r="C70" s="818" t="s">
        <v>633</v>
      </c>
      <c r="D70" s="818" t="s">
        <v>634</v>
      </c>
      <c r="E70" s="895">
        <v>0.2</v>
      </c>
      <c r="F70" s="882">
        <v>30</v>
      </c>
    </row>
    <row r="71" spans="1:6" s="878" customFormat="1" ht="48">
      <c r="A71" s="882">
        <v>11</v>
      </c>
      <c r="B71" s="3300"/>
      <c r="C71" s="818" t="s">
        <v>635</v>
      </c>
      <c r="D71" s="818" t="s">
        <v>636</v>
      </c>
      <c r="E71" s="895">
        <v>0.2</v>
      </c>
      <c r="F71" s="882">
        <v>30</v>
      </c>
    </row>
    <row r="72" spans="1:6" s="878" customFormat="1" ht="36">
      <c r="A72" s="882">
        <v>12</v>
      </c>
      <c r="B72" s="3300"/>
      <c r="C72" s="818" t="s">
        <v>637</v>
      </c>
      <c r="D72" s="818" t="s">
        <v>638</v>
      </c>
      <c r="E72" s="895">
        <v>0.5</v>
      </c>
      <c r="F72" s="882">
        <v>80</v>
      </c>
    </row>
    <row r="73" spans="1:6" s="878" customFormat="1" ht="24">
      <c r="A73" s="882">
        <v>13</v>
      </c>
      <c r="B73" s="3300"/>
      <c r="C73" s="818" t="s">
        <v>639</v>
      </c>
      <c r="D73" s="818" t="s">
        <v>640</v>
      </c>
      <c r="E73" s="895">
        <v>0.4</v>
      </c>
      <c r="F73" s="882">
        <v>60</v>
      </c>
    </row>
    <row r="74" spans="1:6" s="878" customFormat="1" ht="24">
      <c r="A74" s="882">
        <v>14</v>
      </c>
      <c r="B74" s="3300"/>
      <c r="C74" s="818" t="s">
        <v>641</v>
      </c>
      <c r="D74" s="818" t="s">
        <v>642</v>
      </c>
      <c r="E74" s="895">
        <v>0.2</v>
      </c>
      <c r="F74" s="882">
        <v>30</v>
      </c>
    </row>
    <row r="75" spans="1:6" s="878" customFormat="1" ht="24">
      <c r="A75" s="882">
        <v>15</v>
      </c>
      <c r="B75" s="3300"/>
      <c r="C75" s="818" t="s">
        <v>643</v>
      </c>
      <c r="D75" s="818" t="s">
        <v>644</v>
      </c>
      <c r="E75" s="895">
        <v>0.2</v>
      </c>
      <c r="F75" s="882">
        <v>30</v>
      </c>
    </row>
    <row r="76" spans="1:6" s="878" customFormat="1" ht="24">
      <c r="A76" s="882">
        <v>16</v>
      </c>
      <c r="B76" s="3300" t="s">
        <v>645</v>
      </c>
      <c r="C76" s="818" t="s">
        <v>646</v>
      </c>
      <c r="D76" s="818" t="s">
        <v>647</v>
      </c>
      <c r="E76" s="895">
        <v>0.5</v>
      </c>
      <c r="F76" s="882">
        <v>80</v>
      </c>
    </row>
    <row r="77" spans="1:6" s="878" customFormat="1" ht="24">
      <c r="A77" s="882">
        <v>17</v>
      </c>
      <c r="B77" s="3300"/>
      <c r="C77" s="818" t="s">
        <v>648</v>
      </c>
      <c r="D77" s="818" t="s">
        <v>649</v>
      </c>
      <c r="E77" s="895">
        <v>0.5</v>
      </c>
      <c r="F77" s="882">
        <v>80</v>
      </c>
    </row>
    <row r="78" spans="1:6" s="878" customFormat="1" ht="24">
      <c r="A78" s="882">
        <v>18</v>
      </c>
      <c r="B78" s="3300"/>
      <c r="C78" s="818" t="s">
        <v>650</v>
      </c>
      <c r="D78" s="818" t="s">
        <v>651</v>
      </c>
      <c r="E78" s="895">
        <v>0.2</v>
      </c>
      <c r="F78" s="882">
        <v>30</v>
      </c>
    </row>
    <row r="79" spans="1:6" s="878" customFormat="1" ht="24">
      <c r="A79" s="882">
        <v>19</v>
      </c>
      <c r="B79" s="3300"/>
      <c r="C79" s="818" t="s">
        <v>652</v>
      </c>
      <c r="D79" s="818" t="s">
        <v>653</v>
      </c>
      <c r="E79" s="895">
        <v>0.5</v>
      </c>
      <c r="F79" s="882">
        <v>80</v>
      </c>
    </row>
    <row r="80" spans="1:6" s="878" customFormat="1" ht="36">
      <c r="A80" s="882">
        <v>20</v>
      </c>
      <c r="B80" s="3300"/>
      <c r="C80" s="818" t="s">
        <v>654</v>
      </c>
      <c r="D80" s="818" t="s">
        <v>655</v>
      </c>
      <c r="E80" s="895">
        <v>0.2</v>
      </c>
      <c r="F80" s="882">
        <v>30</v>
      </c>
    </row>
    <row r="81" spans="1:6" s="878" customFormat="1" ht="36">
      <c r="A81" s="882">
        <v>21</v>
      </c>
      <c r="B81" s="3300"/>
      <c r="C81" s="818" t="s">
        <v>656</v>
      </c>
      <c r="D81" s="818" t="s">
        <v>657</v>
      </c>
      <c r="E81" s="895">
        <v>0.2</v>
      </c>
      <c r="F81" s="882">
        <v>30</v>
      </c>
    </row>
    <row r="82" spans="1:6" s="878" customFormat="1" ht="48">
      <c r="A82" s="882">
        <v>22</v>
      </c>
      <c r="B82" s="3300"/>
      <c r="C82" s="818" t="s">
        <v>658</v>
      </c>
      <c r="D82" s="818" t="s">
        <v>659</v>
      </c>
      <c r="E82" s="895">
        <v>0.2</v>
      </c>
      <c r="F82" s="882">
        <v>30</v>
      </c>
    </row>
    <row r="83" spans="1:6" s="878" customFormat="1" ht="48">
      <c r="A83" s="882">
        <v>23</v>
      </c>
      <c r="B83" s="3300"/>
      <c r="C83" s="818" t="s">
        <v>660</v>
      </c>
      <c r="D83" s="818" t="s">
        <v>661</v>
      </c>
      <c r="E83" s="895">
        <v>0.2</v>
      </c>
      <c r="F83" s="882">
        <v>30</v>
      </c>
    </row>
    <row r="84" spans="1:6" s="878" customFormat="1" ht="36">
      <c r="A84" s="882">
        <v>24</v>
      </c>
      <c r="B84" s="3300"/>
      <c r="C84" s="818" t="s">
        <v>662</v>
      </c>
      <c r="D84" s="818" t="s">
        <v>663</v>
      </c>
      <c r="E84" s="895">
        <v>0.2</v>
      </c>
      <c r="F84" s="882">
        <v>30</v>
      </c>
    </row>
    <row r="85" spans="1:6" s="878" customFormat="1" ht="36">
      <c r="A85" s="882">
        <v>25</v>
      </c>
      <c r="B85" s="3300"/>
      <c r="C85" s="818" t="s">
        <v>664</v>
      </c>
      <c r="D85" s="818" t="s">
        <v>665</v>
      </c>
      <c r="E85" s="895">
        <v>0.5</v>
      </c>
      <c r="F85" s="882">
        <v>80</v>
      </c>
    </row>
    <row r="86" spans="1:6" s="878" customFormat="1" ht="36">
      <c r="A86" s="882">
        <v>26</v>
      </c>
      <c r="B86" s="3300"/>
      <c r="C86" s="818" t="s">
        <v>666</v>
      </c>
      <c r="D86" s="818" t="s">
        <v>667</v>
      </c>
      <c r="E86" s="895">
        <v>0.2</v>
      </c>
      <c r="F86" s="882">
        <v>30</v>
      </c>
    </row>
    <row r="87" spans="1:6" s="878" customFormat="1" ht="36">
      <c r="A87" s="882">
        <v>27</v>
      </c>
      <c r="B87" s="3300"/>
      <c r="C87" s="818" t="s">
        <v>668</v>
      </c>
      <c r="D87" s="818" t="s">
        <v>669</v>
      </c>
      <c r="E87" s="895">
        <v>0.2</v>
      </c>
      <c r="F87" s="882">
        <v>30</v>
      </c>
    </row>
    <row r="88" spans="1:6" s="878" customFormat="1" ht="36">
      <c r="A88" s="882">
        <v>28</v>
      </c>
      <c r="B88" s="3300"/>
      <c r="C88" s="818" t="s">
        <v>670</v>
      </c>
      <c r="D88" s="818" t="s">
        <v>671</v>
      </c>
      <c r="E88" s="895">
        <v>0.2</v>
      </c>
      <c r="F88" s="882">
        <v>30</v>
      </c>
    </row>
    <row r="89" spans="1:6" s="878" customFormat="1" ht="24">
      <c r="A89" s="882">
        <v>29</v>
      </c>
      <c r="B89" s="3300"/>
      <c r="C89" s="818" t="s">
        <v>672</v>
      </c>
      <c r="D89" s="818" t="s">
        <v>673</v>
      </c>
      <c r="E89" s="895">
        <v>0.2</v>
      </c>
      <c r="F89" s="882">
        <v>30</v>
      </c>
    </row>
    <row r="90" spans="1:6" s="878" customFormat="1" ht="24">
      <c r="A90" s="882">
        <v>30</v>
      </c>
      <c r="B90" s="3300"/>
      <c r="C90" s="818" t="s">
        <v>674</v>
      </c>
      <c r="D90" s="818" t="s">
        <v>675</v>
      </c>
      <c r="E90" s="895">
        <v>0.2</v>
      </c>
      <c r="F90" s="882">
        <v>30</v>
      </c>
    </row>
    <row r="91" spans="1:6" s="878" customFormat="1" ht="36">
      <c r="A91" s="882">
        <v>31</v>
      </c>
      <c r="B91" s="3300"/>
      <c r="C91" s="818" t="s">
        <v>676</v>
      </c>
      <c r="D91" s="818" t="s">
        <v>677</v>
      </c>
      <c r="E91" s="895">
        <v>0.2</v>
      </c>
      <c r="F91" s="882">
        <v>30</v>
      </c>
    </row>
    <row r="92" spans="1:6" s="878" customFormat="1" ht="24">
      <c r="A92" s="882">
        <v>32</v>
      </c>
      <c r="B92" s="3300" t="s">
        <v>678</v>
      </c>
      <c r="C92" s="882" t="s">
        <v>679</v>
      </c>
      <c r="D92" s="818" t="s">
        <v>680</v>
      </c>
      <c r="E92" s="895">
        <v>0.2</v>
      </c>
      <c r="F92" s="882">
        <v>30</v>
      </c>
    </row>
    <row r="93" spans="1:6" s="878" customFormat="1" ht="36">
      <c r="A93" s="882">
        <v>33</v>
      </c>
      <c r="B93" s="3300"/>
      <c r="C93" s="882" t="s">
        <v>681</v>
      </c>
      <c r="D93" s="818" t="s">
        <v>682</v>
      </c>
      <c r="E93" s="895">
        <v>0.2</v>
      </c>
      <c r="F93" s="882">
        <v>30</v>
      </c>
    </row>
    <row r="94" spans="1:6" s="878" customFormat="1" ht="48">
      <c r="A94" s="882">
        <v>34</v>
      </c>
      <c r="B94" s="3300"/>
      <c r="C94" s="882" t="s">
        <v>683</v>
      </c>
      <c r="D94" s="818" t="s">
        <v>684</v>
      </c>
      <c r="E94" s="895">
        <v>0.2</v>
      </c>
      <c r="F94" s="882">
        <v>30</v>
      </c>
    </row>
    <row r="95" spans="1:6" s="878" customFormat="1" ht="36">
      <c r="A95" s="882">
        <v>35</v>
      </c>
      <c r="B95" s="3300"/>
      <c r="C95" s="882" t="s">
        <v>685</v>
      </c>
      <c r="D95" s="818" t="s">
        <v>686</v>
      </c>
      <c r="E95" s="895">
        <v>0.2</v>
      </c>
      <c r="F95" s="882">
        <v>30</v>
      </c>
    </row>
    <row r="96" spans="1:6" s="878" customFormat="1" ht="48">
      <c r="A96" s="882">
        <v>36</v>
      </c>
      <c r="B96" s="3300"/>
      <c r="C96" s="818" t="s">
        <v>687</v>
      </c>
      <c r="D96" s="818" t="s">
        <v>688</v>
      </c>
      <c r="E96" s="895">
        <v>0.2</v>
      </c>
      <c r="F96" s="882">
        <v>30</v>
      </c>
    </row>
    <row r="97" spans="1:6" s="878" customFormat="1" ht="36">
      <c r="A97" s="882">
        <v>37</v>
      </c>
      <c r="B97" s="3300"/>
      <c r="C97" s="882" t="s">
        <v>689</v>
      </c>
      <c r="D97" s="818" t="s">
        <v>690</v>
      </c>
      <c r="E97" s="895">
        <v>0.2</v>
      </c>
      <c r="F97" s="882">
        <v>30</v>
      </c>
    </row>
    <row r="98" spans="1:6" s="878" customFormat="1" ht="36">
      <c r="A98" s="882">
        <v>38</v>
      </c>
      <c r="B98" s="3300"/>
      <c r="C98" s="882" t="s">
        <v>691</v>
      </c>
      <c r="D98" s="818" t="s">
        <v>692</v>
      </c>
      <c r="E98" s="895">
        <v>0.2</v>
      </c>
      <c r="F98" s="882">
        <v>30</v>
      </c>
    </row>
    <row r="99" spans="1:6" s="878" customFormat="1" ht="36">
      <c r="A99" s="882">
        <v>39</v>
      </c>
      <c r="B99" s="3300" t="s">
        <v>693</v>
      </c>
      <c r="C99" s="882" t="s">
        <v>694</v>
      </c>
      <c r="D99" s="818" t="s">
        <v>695</v>
      </c>
      <c r="E99" s="895">
        <v>0.3</v>
      </c>
      <c r="F99" s="882">
        <v>50</v>
      </c>
    </row>
    <row r="100" spans="1:6" s="878" customFormat="1" ht="24">
      <c r="A100" s="882">
        <v>40</v>
      </c>
      <c r="B100" s="3300"/>
      <c r="C100" s="882" t="s">
        <v>696</v>
      </c>
      <c r="D100" s="818" t="s">
        <v>697</v>
      </c>
      <c r="E100" s="895">
        <v>0.2</v>
      </c>
      <c r="F100" s="882">
        <v>30</v>
      </c>
    </row>
    <row r="101" spans="1:6" s="878" customFormat="1" ht="36">
      <c r="A101" s="882">
        <v>41</v>
      </c>
      <c r="B101" s="330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0" t="s">
        <v>708</v>
      </c>
      <c r="C105" s="882" t="s">
        <v>709</v>
      </c>
      <c r="D105" s="818" t="s">
        <v>710</v>
      </c>
      <c r="E105" s="895">
        <v>0.2</v>
      </c>
      <c r="F105" s="882">
        <v>30</v>
      </c>
    </row>
    <row r="106" spans="1:6" s="878" customFormat="1" ht="36">
      <c r="A106" s="882">
        <v>46</v>
      </c>
      <c r="B106" s="3300"/>
      <c r="C106" s="882" t="s">
        <v>711</v>
      </c>
      <c r="D106" s="818" t="s">
        <v>712</v>
      </c>
      <c r="E106" s="895">
        <v>0.2</v>
      </c>
      <c r="F106" s="882">
        <v>30</v>
      </c>
    </row>
    <row r="107" spans="1:6" s="878" customFormat="1" ht="36">
      <c r="A107" s="882">
        <v>47</v>
      </c>
      <c r="B107" s="3300" t="s">
        <v>713</v>
      </c>
      <c r="C107" s="882" t="s">
        <v>714</v>
      </c>
      <c r="D107" s="818" t="s">
        <v>715</v>
      </c>
      <c r="E107" s="895">
        <v>0.3</v>
      </c>
      <c r="F107" s="882">
        <v>50</v>
      </c>
    </row>
    <row r="108" spans="1:6" s="878" customFormat="1" ht="36">
      <c r="A108" s="882">
        <v>48</v>
      </c>
      <c r="B108" s="330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0" t="s">
        <v>724</v>
      </c>
      <c r="C111" s="882" t="s">
        <v>725</v>
      </c>
      <c r="D111" s="818" t="s">
        <v>726</v>
      </c>
      <c r="E111" s="895">
        <v>0.2</v>
      </c>
      <c r="F111" s="882">
        <v>30</v>
      </c>
    </row>
    <row r="112" spans="1:6" s="878" customFormat="1" ht="24">
      <c r="A112" s="882">
        <v>52</v>
      </c>
      <c r="B112" s="3300"/>
      <c r="C112" s="882" t="s">
        <v>727</v>
      </c>
      <c r="D112" s="818" t="s">
        <v>728</v>
      </c>
      <c r="E112" s="895">
        <v>0.2</v>
      </c>
      <c r="F112" s="882">
        <v>30</v>
      </c>
    </row>
    <row r="113" spans="1:6" s="878" customFormat="1" ht="24">
      <c r="A113" s="882">
        <v>53</v>
      </c>
      <c r="B113" s="330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0" t="s">
        <v>737</v>
      </c>
      <c r="C116" s="882" t="s">
        <v>738</v>
      </c>
      <c r="D116" s="818" t="s">
        <v>739</v>
      </c>
      <c r="E116" s="895">
        <v>0.2</v>
      </c>
      <c r="F116" s="882">
        <v>30</v>
      </c>
    </row>
    <row r="117" spans="1:6" ht="36">
      <c r="A117" s="882">
        <v>57</v>
      </c>
      <c r="B117" s="330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0.79200000000000004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3006</v>
      </c>
    </row>
    <row r="2" spans="1:5" ht="15.75">
      <c r="A2" s="2916" t="s">
        <v>2998</v>
      </c>
      <c r="B2" s="2917">
        <f ca="1">SUMIF(B6:B13,"&lt;&gt;#ref!",B6:B13)</f>
        <v>2117</v>
      </c>
      <c r="C2" s="2916" t="s">
        <v>2999</v>
      </c>
      <c r="D2" s="2916" t="s">
        <v>3000</v>
      </c>
      <c r="E2" s="2917">
        <f ca="1">SUMIF(E6:E13,"&lt;&gt;#ref!",E6:E13)</f>
        <v>1178.46</v>
      </c>
    </row>
    <row r="3" spans="1:5" ht="15.75">
      <c r="A3" s="2916" t="s">
        <v>3001</v>
      </c>
      <c r="B3" s="2917">
        <f ca="1">ROUND(B2*10000/E2,0)</f>
        <v>17964</v>
      </c>
      <c r="C3" s="2916" t="s">
        <v>3007</v>
      </c>
      <c r="D3" s="2918"/>
      <c r="E3" s="2918"/>
    </row>
    <row r="4" spans="1:5" ht="15.75">
      <c r="A4" s="2919"/>
      <c r="B4" s="2918"/>
      <c r="C4" s="2918"/>
      <c r="D4" s="2918"/>
      <c r="E4" s="2918"/>
    </row>
    <row r="5" spans="1:5" ht="28.5">
      <c r="A5" s="2920" t="s">
        <v>3002</v>
      </c>
      <c r="B5" s="2916" t="s">
        <v>3003</v>
      </c>
      <c r="C5" s="2917"/>
      <c r="D5" s="2918"/>
      <c r="E5" s="2916" t="s">
        <v>3004</v>
      </c>
    </row>
    <row r="6" spans="1:5" ht="15.75">
      <c r="A6" s="2921" t="s">
        <v>3005</v>
      </c>
      <c r="B6" s="2917">
        <f ca="1">SUMIF(INDIRECT("'"&amp;A6&amp;"'"&amp;"!A:A"),"总价",INDIRECT("'"&amp;A6&amp;"'"&amp;"!B:B"))</f>
        <v>2117</v>
      </c>
      <c r="C6" s="2916" t="s">
        <v>2999</v>
      </c>
      <c r="D6" s="2918"/>
      <c r="E6" s="2581">
        <f ca="1">SUMIF(INDIRECT("'"&amp;A6&amp;"'"&amp;"!C:C"),"建筑面积",INDIRECT("'"&amp;A6&amp;"'"&amp;"!D:D"))</f>
        <v>1178.46</v>
      </c>
    </row>
    <row r="7" spans="1:5" ht="15.75">
      <c r="A7" s="2921"/>
      <c r="B7" s="2917" t="e">
        <f ca="1">SUMIF(INDIRECT("'"&amp;A7&amp;"'"&amp;"!A:A"),"总价",INDIRECT("'"&amp;A7&amp;"'"&amp;"!B:B"))</f>
        <v>#REF!</v>
      </c>
      <c r="C7" s="2916" t="s">
        <v>2999</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2999</v>
      </c>
      <c r="D8" s="2918"/>
      <c r="E8" s="2581" t="e">
        <f t="shared" ca="1" si="0"/>
        <v>#REF!</v>
      </c>
    </row>
    <row r="9" spans="1:5" ht="15.75">
      <c r="A9" s="2921"/>
      <c r="B9" s="2917" t="e">
        <f t="shared" ca="1" si="1"/>
        <v>#REF!</v>
      </c>
      <c r="C9" s="2916" t="s">
        <v>2999</v>
      </c>
      <c r="D9" s="2918"/>
      <c r="E9" s="2581" t="e">
        <f t="shared" ca="1" si="0"/>
        <v>#REF!</v>
      </c>
    </row>
    <row r="10" spans="1:5" ht="15.75">
      <c r="A10" s="2921"/>
      <c r="B10" s="2917" t="e">
        <f t="shared" ca="1" si="1"/>
        <v>#REF!</v>
      </c>
      <c r="C10" s="2916" t="s">
        <v>2999</v>
      </c>
      <c r="D10" s="2918"/>
      <c r="E10" s="2581" t="e">
        <f t="shared" ca="1" si="0"/>
        <v>#REF!</v>
      </c>
    </row>
    <row r="11" spans="1:5" ht="15.75">
      <c r="A11" s="2921"/>
      <c r="B11" s="2917" t="e">
        <f t="shared" ca="1" si="1"/>
        <v>#REF!</v>
      </c>
      <c r="C11" s="2916" t="s">
        <v>2999</v>
      </c>
      <c r="D11" s="2918"/>
      <c r="E11" s="2581" t="e">
        <f t="shared" ca="1" si="0"/>
        <v>#REF!</v>
      </c>
    </row>
    <row r="12" spans="1:5" ht="15.75">
      <c r="A12" s="2921"/>
      <c r="B12" s="2917" t="e">
        <f t="shared" ca="1" si="1"/>
        <v>#REF!</v>
      </c>
      <c r="C12" s="2916" t="s">
        <v>2999</v>
      </c>
      <c r="D12" s="2918"/>
      <c r="E12" s="2581" t="e">
        <f t="shared" ca="1" si="0"/>
        <v>#REF!</v>
      </c>
    </row>
    <row r="13" spans="1:5" ht="15.75">
      <c r="A13" s="2921"/>
      <c r="B13" s="2917" t="e">
        <f t="shared" ca="1" si="1"/>
        <v>#REF!</v>
      </c>
      <c r="C13" s="2916" t="s">
        <v>2999</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K118"/>
  <sheetViews>
    <sheetView topLeftCell="A15" zoomScale="80" zoomScaleNormal="80" zoomScaleSheetLayoutView="96" workbookViewId="0">
      <selection activeCell="L30" sqref="L30"/>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0</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0</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2821</v>
      </c>
      <c r="B3" s="248" t="e">
        <f ca="1">ROUND(B2*10000/D1,0)</f>
        <v>#DIV/0!</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3"/>
      <c r="B4" s="3284"/>
      <c r="C4" s="3284"/>
      <c r="D4" s="3285"/>
      <c r="E4" s="3285"/>
      <c r="F4" s="3285"/>
      <c r="G4" s="3285"/>
      <c r="H4" s="3285"/>
      <c r="I4" s="3285"/>
      <c r="J4" s="3286"/>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87"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2958" t="s">
        <v>2838</v>
      </c>
      <c r="X7" s="1607" t="str">
        <f>G2</f>
        <v>六级</v>
      </c>
      <c r="Y7" s="1607" t="s">
        <v>2839</v>
      </c>
      <c r="Z7" s="1608">
        <f>G3</f>
        <v>6.01</v>
      </c>
      <c r="AA7" s="1609"/>
      <c r="AB7" s="1609"/>
      <c r="AC7" s="1610"/>
      <c r="AD7" s="1611"/>
      <c r="AE7" s="1611"/>
      <c r="AF7" s="1611"/>
      <c r="AG7" s="1611"/>
      <c r="AH7" s="1611"/>
      <c r="AI7" s="1611"/>
      <c r="AJ7" s="1612"/>
    </row>
    <row r="8" spans="1:36" ht="25.5">
      <c r="A8" s="3288"/>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80" t="s">
        <v>2843</v>
      </c>
      <c r="X8" s="3281"/>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88"/>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82"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8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82" t="s">
        <v>2867</v>
      </c>
      <c r="X11" s="1617" t="s">
        <v>2839</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87"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82"/>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9"/>
      <c r="B13" s="2770" t="s">
        <v>2874</v>
      </c>
      <c r="C13" s="2771" t="s">
        <v>2875</v>
      </c>
      <c r="D13" s="2951" t="s">
        <v>2876</v>
      </c>
      <c r="E13" s="295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82"/>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9"/>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0"/>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7" t="s">
        <v>2886</v>
      </c>
      <c r="B16" s="2751" t="s">
        <v>2887</v>
      </c>
      <c r="C16" s="2952">
        <f>ROUND(SUM(G17:J17)/C17,0)</f>
        <v>0</v>
      </c>
      <c r="D16" s="2785" t="s">
        <v>2888</v>
      </c>
      <c r="E16" s="2786" t="s">
        <v>3065</v>
      </c>
      <c r="F16" s="2787" t="s">
        <v>3068</v>
      </c>
      <c r="G16" s="2788"/>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8"/>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2954">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2953" t="s">
        <v>2910</v>
      </c>
      <c r="D22" s="2953">
        <f>IF(E22=G22,F22,IF(G3&lt;=10,ROUND(F22+(H22-F22)*(G3-E22)/(G22-E22),4),"——"))</f>
        <v>0.79</v>
      </c>
      <c r="E22" s="916">
        <f>ROUNDDOWN(G3,1)</f>
        <v>6</v>
      </c>
      <c r="F22" s="29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29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295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c r="E29" s="2957">
        <f ca="1">ROUND(C29*D29/10000,0)</f>
        <v>0</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2957">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97" t="s">
        <v>2933</v>
      </c>
      <c r="B33" s="2867" t="s">
        <v>2934</v>
      </c>
      <c r="C33" s="206">
        <f ca="1">ROUND(D5*C19*C20*C24*F33,0)</f>
        <v>7637</v>
      </c>
      <c r="D33" s="2851">
        <f>'数据-汇总表'!G22</f>
        <v>0</v>
      </c>
      <c r="E33" s="200">
        <f ca="1">ROUND(C33*D33/10000,0)</f>
        <v>0</v>
      </c>
      <c r="F33" s="200">
        <f>SUMIF(修正!A45:A56,G2,修正!B45:B56)</f>
        <v>0.7</v>
      </c>
      <c r="G33" s="200">
        <f t="shared" ref="G33" ca="1" si="6">ROUND(IF(E2="工业",C33*$M$39,C33*$M$38),0)</f>
        <v>1909</v>
      </c>
      <c r="H33" s="200">
        <f>D33</f>
        <v>0</v>
      </c>
      <c r="I33" s="200">
        <f ca="1">ROUND(G33*H33/10000,0)</f>
        <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8"/>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8"/>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99"/>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2950" t="s">
        <v>2946</v>
      </c>
      <c r="C47" s="2950" t="s">
        <v>2947</v>
      </c>
      <c r="D47" s="2950" t="s">
        <v>2948</v>
      </c>
      <c r="E47" s="819" t="s">
        <v>2949</v>
      </c>
      <c r="F47" s="2885" t="s">
        <v>2950</v>
      </c>
      <c r="G47" s="2950" t="s">
        <v>754</v>
      </c>
      <c r="H47" s="2886" t="s">
        <v>2951</v>
      </c>
      <c r="I47" s="2950"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3071</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3071</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3072</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3073</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3074</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3071</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3071</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3073</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3073</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2950"/>
      <c r="C58" s="2950" t="s">
        <v>2947</v>
      </c>
      <c r="D58" s="2950" t="s">
        <v>2948</v>
      </c>
      <c r="E58" s="819" t="s">
        <v>2949</v>
      </c>
      <c r="F58" s="2885" t="s">
        <v>2965</v>
      </c>
      <c r="G58" s="2950" t="s">
        <v>754</v>
      </c>
      <c r="H58" s="2886" t="s">
        <v>2951</v>
      </c>
      <c r="I58" s="2950"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2950"/>
      <c r="C69" s="2950" t="s">
        <v>2947</v>
      </c>
      <c r="D69" s="2950" t="s">
        <v>2948</v>
      </c>
      <c r="E69" s="819" t="s">
        <v>2949</v>
      </c>
      <c r="F69" s="2885" t="s">
        <v>2965</v>
      </c>
      <c r="G69" s="2950" t="s">
        <v>754</v>
      </c>
      <c r="H69" s="2886" t="s">
        <v>2951</v>
      </c>
      <c r="I69" s="2950"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2950"/>
      <c r="C80" s="2950" t="s">
        <v>2947</v>
      </c>
      <c r="D80" s="2950" t="s">
        <v>2948</v>
      </c>
      <c r="E80" s="819" t="s">
        <v>2949</v>
      </c>
      <c r="F80" s="2885" t="s">
        <v>2965</v>
      </c>
      <c r="G80" s="2950" t="s">
        <v>754</v>
      </c>
      <c r="H80" s="2886" t="s">
        <v>2951</v>
      </c>
      <c r="I80" s="2950"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91" t="s">
        <v>2975</v>
      </c>
      <c r="B90" s="3291"/>
      <c r="C90" s="3291"/>
      <c r="D90" s="3291"/>
      <c r="E90" s="3291"/>
      <c r="F90" s="3291"/>
      <c r="G90" s="3291"/>
      <c r="H90" s="3291"/>
      <c r="I90" s="3291"/>
      <c r="J90" s="3291"/>
      <c r="K90" s="2955"/>
      <c r="L90" s="2955"/>
      <c r="M90" s="2955"/>
      <c r="N90" s="2955"/>
    </row>
    <row r="91" spans="1:37">
      <c r="A91" s="3293" t="s">
        <v>2976</v>
      </c>
      <c r="B91" s="3293" t="s">
        <v>2977</v>
      </c>
      <c r="C91" s="2852" t="s">
        <v>2978</v>
      </c>
      <c r="D91" s="2853"/>
      <c r="E91" s="2853"/>
      <c r="F91" s="2853"/>
      <c r="G91" s="2853"/>
      <c r="H91" s="2853"/>
      <c r="I91" s="2853"/>
      <c r="J91" s="2899"/>
      <c r="K91" s="2900"/>
      <c r="L91" s="2900"/>
      <c r="M91" s="2900"/>
      <c r="N91" s="2900"/>
    </row>
    <row r="92" spans="1:37">
      <c r="A92" s="3293"/>
      <c r="B92" s="3293"/>
      <c r="C92" s="2957" t="s">
        <v>2844</v>
      </c>
      <c r="D92" s="2957" t="s">
        <v>2845</v>
      </c>
      <c r="E92" s="2957" t="s">
        <v>2846</v>
      </c>
      <c r="F92" s="2957" t="s">
        <v>2847</v>
      </c>
      <c r="G92" s="2957" t="s">
        <v>2848</v>
      </c>
      <c r="H92" s="2957" t="s">
        <v>2849</v>
      </c>
      <c r="I92" s="2957" t="s">
        <v>2850</v>
      </c>
      <c r="J92" s="2957" t="s">
        <v>2851</v>
      </c>
      <c r="K92" s="2957" t="s">
        <v>2852</v>
      </c>
      <c r="L92" s="2957" t="s">
        <v>2853</v>
      </c>
      <c r="M92" s="2957" t="s">
        <v>2854</v>
      </c>
      <c r="N92" s="2957" t="s">
        <v>2855</v>
      </c>
    </row>
    <row r="93" spans="1:37">
      <c r="A93" s="3294"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5"/>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5"/>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5"/>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5"/>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5"/>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5"/>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96"/>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94"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95"/>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95"/>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95"/>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95"/>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95"/>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95"/>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95"/>
      <c r="B108" s="3149" t="s">
        <v>2873</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96"/>
      <c r="B109" s="3150"/>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92" t="s">
        <v>2983</v>
      </c>
      <c r="B110" s="3292"/>
      <c r="C110" s="3292"/>
      <c r="D110" s="3292"/>
      <c r="E110" s="3292"/>
      <c r="F110" s="3292"/>
      <c r="G110" s="3292"/>
      <c r="H110" s="3292"/>
      <c r="I110" s="3292"/>
      <c r="J110" s="3292"/>
      <c r="K110" s="2956"/>
      <c r="L110" s="2956"/>
      <c r="M110" s="2956"/>
      <c r="N110" s="2956"/>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06" t="s">
        <v>1149</v>
      </c>
      <c r="C1" s="3306"/>
      <c r="D1" s="3306"/>
      <c r="E1" s="3306"/>
      <c r="F1" s="3306"/>
      <c r="G1" s="3305" t="s">
        <v>1150</v>
      </c>
      <c r="H1" s="3305"/>
      <c r="I1" s="3305"/>
      <c r="J1" s="3305"/>
      <c r="K1" s="3305"/>
      <c r="L1" s="3305"/>
      <c r="N1" s="3305" t="s">
        <v>1151</v>
      </c>
      <c r="O1" s="3305"/>
      <c r="P1" s="3305"/>
      <c r="Q1" s="3305"/>
      <c r="R1" s="1449"/>
      <c r="S1" s="3305" t="s">
        <v>1152</v>
      </c>
      <c r="T1" s="3305"/>
      <c r="U1" s="3305"/>
      <c r="V1" s="3305"/>
      <c r="X1" s="3304" t="s">
        <v>1153</v>
      </c>
      <c r="Y1" s="3305"/>
      <c r="Z1" s="3305"/>
      <c r="AA1" s="3305"/>
      <c r="AB1" s="3305"/>
      <c r="AD1" s="3304" t="s">
        <v>1154</v>
      </c>
      <c r="AE1" s="3305"/>
      <c r="AF1" s="3305"/>
      <c r="AG1" s="3305"/>
      <c r="AH1" s="3305"/>
    </row>
    <row r="2" spans="1:34" s="1450" customFormat="1" ht="14.25" thickBot="1">
      <c r="B2" s="1451" t="s">
        <v>1155</v>
      </c>
      <c r="C2" s="1451" t="s">
        <v>1156</v>
      </c>
      <c r="D2" s="1452" t="s">
        <v>1157</v>
      </c>
      <c r="E2" s="1452" t="s">
        <v>1158</v>
      </c>
      <c r="F2" s="1451" t="s">
        <v>1159</v>
      </c>
      <c r="G2" s="1453"/>
      <c r="H2" s="1454"/>
      <c r="I2" s="1451" t="s">
        <v>1155</v>
      </c>
      <c r="J2" s="1452" t="s">
        <v>1384</v>
      </c>
      <c r="K2" s="1452" t="s">
        <v>751</v>
      </c>
      <c r="L2" s="1451" t="s">
        <v>1159</v>
      </c>
      <c r="N2" s="1451" t="s">
        <v>1155</v>
      </c>
      <c r="O2" s="1452" t="s">
        <v>1384</v>
      </c>
      <c r="P2" s="1452" t="s">
        <v>751</v>
      </c>
      <c r="Q2" s="1451" t="s">
        <v>1159</v>
      </c>
      <c r="R2" s="1455"/>
      <c r="S2" s="1451" t="s">
        <v>1155</v>
      </c>
      <c r="T2" s="1452" t="s">
        <v>1384</v>
      </c>
      <c r="U2" s="1452" t="s">
        <v>751</v>
      </c>
      <c r="V2" s="1451" t="s">
        <v>1159</v>
      </c>
      <c r="X2" s="1451" t="s">
        <v>1155</v>
      </c>
      <c r="Y2" s="1451" t="s">
        <v>1156</v>
      </c>
      <c r="Z2" s="1452" t="s">
        <v>1157</v>
      </c>
      <c r="AA2" s="1452" t="s">
        <v>1158</v>
      </c>
      <c r="AB2" s="1451" t="s">
        <v>1159</v>
      </c>
      <c r="AD2" s="1451" t="s">
        <v>1155</v>
      </c>
      <c r="AE2" s="1451" t="s">
        <v>1156</v>
      </c>
      <c r="AF2" s="1452" t="s">
        <v>1157</v>
      </c>
      <c r="AG2" s="1452" t="s">
        <v>1158</v>
      </c>
      <c r="AH2" s="1451" t="s">
        <v>1159</v>
      </c>
    </row>
    <row r="3" spans="1:34" s="2935" customFormat="1" ht="14.25">
      <c r="A3" s="2944" t="s">
        <v>3039</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3046</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7">
        <v>2018</v>
      </c>
      <c r="H5" s="1733">
        <v>3</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3040</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3047</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5"/>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3038</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3035</v>
      </c>
      <c r="B8" s="1472">
        <v>439</v>
      </c>
      <c r="C8" s="1472">
        <v>327</v>
      </c>
      <c r="D8" s="1472">
        <f>C8</f>
        <v>327</v>
      </c>
      <c r="E8" s="1472">
        <v>627</v>
      </c>
      <c r="F8" s="1473">
        <v>283</v>
      </c>
      <c r="G8" s="293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3036</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1385</v>
      </c>
      <c r="B10" s="1480">
        <f t="shared" si="40"/>
        <v>419.31181600000002</v>
      </c>
      <c r="C10" s="1480">
        <f t="shared" si="41"/>
        <v>313.95436800000004</v>
      </c>
      <c r="D10" s="1480">
        <f t="shared" si="42"/>
        <v>313.95436800000004</v>
      </c>
      <c r="E10" s="1480">
        <f t="shared" si="43"/>
        <v>596.63028431999999</v>
      </c>
      <c r="F10" s="1480">
        <f t="shared" si="44"/>
        <v>274.74220703999998</v>
      </c>
      <c r="G10" s="292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1160</v>
      </c>
      <c r="B11" s="1480">
        <f>B12*(1+N11)</f>
        <v>405.524</v>
      </c>
      <c r="C11" s="1480">
        <f>C12*(1+O11)</f>
        <v>307.79840000000002</v>
      </c>
      <c r="D11" s="1480">
        <f>C11</f>
        <v>307.79840000000002</v>
      </c>
      <c r="E11" s="1480">
        <f>E12*(1+P11)</f>
        <v>574.67759999999998</v>
      </c>
      <c r="F11" s="1480">
        <f>F12*(1+Q11)</f>
        <v>270.20280000000002</v>
      </c>
      <c r="G11" s="292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07">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02"/>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02"/>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03"/>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01">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02"/>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02"/>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03"/>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01">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02"/>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02"/>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03"/>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1161</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1162</v>
      </c>
      <c r="B24" s="1472">
        <v>299</v>
      </c>
      <c r="C24" s="1472">
        <v>252</v>
      </c>
      <c r="D24" s="1472">
        <f t="shared" si="54"/>
        <v>252</v>
      </c>
      <c r="E24" s="1472">
        <v>409</v>
      </c>
      <c r="F24" s="1473">
        <v>227</v>
      </c>
      <c r="G24" s="3308">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1163</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09"/>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1164</v>
      </c>
      <c r="B26" s="1480">
        <f t="shared" si="63"/>
        <v>288.2649053828776</v>
      </c>
      <c r="C26" s="1480">
        <f t="shared" si="63"/>
        <v>243.64564425013293</v>
      </c>
      <c r="D26" s="1480">
        <f t="shared" si="54"/>
        <v>243.64564425013293</v>
      </c>
      <c r="E26" s="1480">
        <f t="shared" si="64"/>
        <v>393.31080825986544</v>
      </c>
      <c r="F26" s="1480">
        <f t="shared" si="64"/>
        <v>223.07903790551154</v>
      </c>
      <c r="G26" s="3309"/>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1165</v>
      </c>
      <c r="B27" s="1480">
        <f t="shared" si="63"/>
        <v>282.50186729015837</v>
      </c>
      <c r="C27" s="1480">
        <f t="shared" si="63"/>
        <v>238.09796174155468</v>
      </c>
      <c r="D27" s="1480">
        <f t="shared" si="54"/>
        <v>238.09796174155468</v>
      </c>
      <c r="E27" s="1480">
        <f t="shared" si="64"/>
        <v>385.33438646014054</v>
      </c>
      <c r="F27" s="1480">
        <f t="shared" si="64"/>
        <v>221.55034055567739</v>
      </c>
      <c r="G27" s="3310"/>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1166</v>
      </c>
      <c r="B28" s="1514">
        <v>278</v>
      </c>
      <c r="C28" s="1514">
        <v>234</v>
      </c>
      <c r="D28" s="1514">
        <f t="shared" si="54"/>
        <v>234</v>
      </c>
      <c r="E28" s="1514">
        <v>379</v>
      </c>
      <c r="F28" s="1515">
        <v>220</v>
      </c>
      <c r="G28" s="3301">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1167</v>
      </c>
      <c r="B29" s="1480">
        <f>B28/(1+N28)</f>
        <v>275.49301357645425</v>
      </c>
      <c r="C29" s="1480">
        <f>C28/(1+O28)</f>
        <v>232.41954707985698</v>
      </c>
      <c r="D29" s="1480">
        <f t="shared" si="54"/>
        <v>232.41954707985698</v>
      </c>
      <c r="E29" s="1480">
        <f t="shared" ref="E29:F31" si="65">E28/(1+P28)</f>
        <v>375.32184591008121</v>
      </c>
      <c r="F29" s="1480">
        <f t="shared" si="65"/>
        <v>218.03766105054513</v>
      </c>
      <c r="G29" s="3302"/>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1168</v>
      </c>
      <c r="B30" s="1480">
        <f>B29/(1+N29)</f>
        <v>275.24529281292263</v>
      </c>
      <c r="C30" s="1480">
        <f>C29/(1+O29)</f>
        <v>231.74747938962707</v>
      </c>
      <c r="D30" s="1480">
        <f t="shared" si="54"/>
        <v>231.74747938962707</v>
      </c>
      <c r="E30" s="1480">
        <f t="shared" si="65"/>
        <v>375.35938184826603</v>
      </c>
      <c r="F30" s="1480">
        <f t="shared" si="65"/>
        <v>216.78033510692495</v>
      </c>
      <c r="G30" s="3302"/>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1169</v>
      </c>
      <c r="B31" s="1480">
        <f>B30/(1+N30)</f>
        <v>275.19025476197027</v>
      </c>
      <c r="C31" s="1516">
        <v>232</v>
      </c>
      <c r="D31" s="1516">
        <f t="shared" si="54"/>
        <v>232</v>
      </c>
      <c r="E31" s="1480">
        <f t="shared" si="65"/>
        <v>375.65990977608692</v>
      </c>
      <c r="F31" s="1480">
        <f t="shared" si="65"/>
        <v>214.12518283971252</v>
      </c>
      <c r="G31" s="3303"/>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1170</v>
      </c>
      <c r="B32" s="1472">
        <v>275</v>
      </c>
      <c r="C32" s="1472">
        <v>232</v>
      </c>
      <c r="D32" s="1472">
        <f t="shared" si="54"/>
        <v>232</v>
      </c>
      <c r="E32" s="1472">
        <v>376</v>
      </c>
      <c r="F32" s="1473">
        <v>213</v>
      </c>
      <c r="G32" s="3301">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1171</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02">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1172</v>
      </c>
      <c r="B34" s="1480">
        <f t="shared" si="66"/>
        <v>275.19335084830601</v>
      </c>
      <c r="C34" s="1480">
        <f t="shared" si="66"/>
        <v>230.18088050139744</v>
      </c>
      <c r="D34" s="1480">
        <f t="shared" si="54"/>
        <v>230.18088050139744</v>
      </c>
      <c r="E34" s="1480">
        <f t="shared" si="67"/>
        <v>377.58482925212331</v>
      </c>
      <c r="F34" s="1480">
        <f t="shared" si="67"/>
        <v>210.90687997847917</v>
      </c>
      <c r="G34" s="3302">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1173</v>
      </c>
      <c r="B35" s="1480">
        <f t="shared" si="66"/>
        <v>276.29854502841971</v>
      </c>
      <c r="C35" s="1480">
        <f t="shared" si="66"/>
        <v>229.79023709833027</v>
      </c>
      <c r="D35" s="1480">
        <f t="shared" si="54"/>
        <v>229.79023709833027</v>
      </c>
      <c r="E35" s="1480">
        <f t="shared" si="67"/>
        <v>379.78759731655936</v>
      </c>
      <c r="F35" s="1480">
        <f t="shared" si="67"/>
        <v>211.32953905659235</v>
      </c>
      <c r="G35" s="3303">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1174</v>
      </c>
      <c r="B36" s="1472">
        <v>269</v>
      </c>
      <c r="C36" s="1472">
        <v>221</v>
      </c>
      <c r="D36" s="1472">
        <f t="shared" si="54"/>
        <v>221</v>
      </c>
      <c r="E36" s="1472">
        <v>373</v>
      </c>
      <c r="F36" s="1473">
        <v>196</v>
      </c>
      <c r="G36" s="3301">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1175</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02">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1176</v>
      </c>
      <c r="B38" s="1480">
        <f t="shared" si="68"/>
        <v>242.95398227588385</v>
      </c>
      <c r="C38" s="1480">
        <f t="shared" si="68"/>
        <v>199.59137053614126</v>
      </c>
      <c r="D38" s="1480">
        <f t="shared" si="54"/>
        <v>199.59137053614126</v>
      </c>
      <c r="E38" s="1480">
        <f t="shared" si="69"/>
        <v>335.92189522342125</v>
      </c>
      <c r="F38" s="1480">
        <f t="shared" si="69"/>
        <v>183.10139991109489</v>
      </c>
      <c r="G38" s="3302">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1177</v>
      </c>
      <c r="B39" s="1480">
        <f t="shared" si="68"/>
        <v>232.06990378821649</v>
      </c>
      <c r="C39" s="1480">
        <f t="shared" si="68"/>
        <v>192.74878854286936</v>
      </c>
      <c r="D39" s="1480">
        <f t="shared" si="54"/>
        <v>192.74878854286936</v>
      </c>
      <c r="E39" s="1480">
        <f t="shared" si="69"/>
        <v>319.71247284992984</v>
      </c>
      <c r="F39" s="1480">
        <f t="shared" si="69"/>
        <v>175.67053622862409</v>
      </c>
      <c r="G39" s="3303">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1178</v>
      </c>
      <c r="B40" s="1472">
        <v>220</v>
      </c>
      <c r="C40" s="1472">
        <v>187</v>
      </c>
      <c r="D40" s="1472">
        <f t="shared" si="54"/>
        <v>187</v>
      </c>
      <c r="E40" s="1472">
        <v>301</v>
      </c>
      <c r="F40" s="1473">
        <v>168</v>
      </c>
      <c r="G40" s="3301">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1179</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02">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1180</v>
      </c>
      <c r="B42" s="1480">
        <f t="shared" si="70"/>
        <v>210.630522469011</v>
      </c>
      <c r="C42" s="1480">
        <f t="shared" si="70"/>
        <v>181.69567812247232</v>
      </c>
      <c r="D42" s="1480">
        <f t="shared" si="54"/>
        <v>181.69567812247232</v>
      </c>
      <c r="E42" s="1480">
        <f t="shared" si="71"/>
        <v>286.13517466736738</v>
      </c>
      <c r="F42" s="1480">
        <f t="shared" si="71"/>
        <v>165.47535084591149</v>
      </c>
      <c r="G42" s="3302">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1181</v>
      </c>
      <c r="B43" s="1480">
        <f t="shared" si="70"/>
        <v>208.83454537875372</v>
      </c>
      <c r="C43" s="1480">
        <f t="shared" si="70"/>
        <v>183.77230517090351</v>
      </c>
      <c r="D43" s="1480">
        <f t="shared" si="54"/>
        <v>183.77230517090351</v>
      </c>
      <c r="E43" s="1480">
        <f t="shared" si="71"/>
        <v>281.10342338870947</v>
      </c>
      <c r="F43" s="1480">
        <f t="shared" si="71"/>
        <v>168.97309388942256</v>
      </c>
      <c r="G43" s="3303">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1182</v>
      </c>
      <c r="B44" s="1514">
        <v>214</v>
      </c>
      <c r="C44" s="1514">
        <v>188</v>
      </c>
      <c r="D44" s="1514">
        <f t="shared" si="54"/>
        <v>188</v>
      </c>
      <c r="E44" s="1514">
        <v>289</v>
      </c>
      <c r="F44" s="1515">
        <v>166</v>
      </c>
      <c r="G44" s="3301">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1183</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02">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1184</v>
      </c>
      <c r="B46" s="1480">
        <f t="shared" si="72"/>
        <v>206.31694671589116</v>
      </c>
      <c r="C46" s="1480">
        <f t="shared" si="72"/>
        <v>183.61041121036101</v>
      </c>
      <c r="D46" s="1480">
        <f t="shared" si="54"/>
        <v>183.61041121036101</v>
      </c>
      <c r="E46" s="1480">
        <f t="shared" si="73"/>
        <v>276.66850301795557</v>
      </c>
      <c r="F46" s="1480">
        <f t="shared" si="73"/>
        <v>165.1360938278614</v>
      </c>
      <c r="G46" s="3302">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1185</v>
      </c>
      <c r="B47" s="1517">
        <f t="shared" si="72"/>
        <v>196.62341248059772</v>
      </c>
      <c r="C47" s="1517">
        <f t="shared" si="72"/>
        <v>170.99125648199012</v>
      </c>
      <c r="D47" s="1517">
        <f t="shared" si="54"/>
        <v>170.99125648199012</v>
      </c>
      <c r="E47" s="1517">
        <f t="shared" si="73"/>
        <v>266.07857570490052</v>
      </c>
      <c r="F47" s="1517">
        <f t="shared" si="73"/>
        <v>154.53499328828505</v>
      </c>
      <c r="G47" s="3303">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1186</v>
      </c>
      <c r="B48" s="1472">
        <v>188</v>
      </c>
      <c r="C48" s="1472">
        <v>165</v>
      </c>
      <c r="D48" s="1472">
        <f t="shared" si="54"/>
        <v>165</v>
      </c>
      <c r="E48" s="1472">
        <v>254</v>
      </c>
      <c r="F48" s="1473">
        <v>148</v>
      </c>
      <c r="G48" s="3301">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1187</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02">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1188</v>
      </c>
      <c r="B50" s="1480">
        <f t="shared" si="76"/>
        <v>168.82017748715555</v>
      </c>
      <c r="C50" s="1480">
        <f t="shared" si="76"/>
        <v>148.06267029972753</v>
      </c>
      <c r="D50" s="1480">
        <f t="shared" si="54"/>
        <v>148.06267029972753</v>
      </c>
      <c r="E50" s="1480">
        <f t="shared" si="77"/>
        <v>216.46288379323747</v>
      </c>
      <c r="F50" s="1480">
        <f t="shared" si="77"/>
        <v>134.23529411764704</v>
      </c>
      <c r="G50" s="3302">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1189</v>
      </c>
      <c r="B51" s="1480">
        <f t="shared" si="76"/>
        <v>163.84913591779542</v>
      </c>
      <c r="C51" s="1480">
        <f t="shared" si="76"/>
        <v>145.0283378746594</v>
      </c>
      <c r="D51" s="1480">
        <f t="shared" si="54"/>
        <v>145.0283378746594</v>
      </c>
      <c r="E51" s="1480">
        <f t="shared" si="77"/>
        <v>204.95180722891567</v>
      </c>
      <c r="F51" s="1480">
        <f t="shared" si="77"/>
        <v>125.95920303605313</v>
      </c>
      <c r="G51" s="3303">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1190</v>
      </c>
      <c r="B52" s="1493">
        <v>159</v>
      </c>
      <c r="C52" s="1493">
        <v>141</v>
      </c>
      <c r="D52" s="1493">
        <f t="shared" si="54"/>
        <v>141</v>
      </c>
      <c r="E52" s="1493">
        <v>195</v>
      </c>
      <c r="F52" s="1494">
        <v>122</v>
      </c>
      <c r="G52" s="3301">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1191</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02">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1192</v>
      </c>
      <c r="B54" s="1480">
        <f t="shared" si="80"/>
        <v>146.57412060301507</v>
      </c>
      <c r="C54" s="1480">
        <f t="shared" si="80"/>
        <v>136.46831955922866</v>
      </c>
      <c r="D54" s="1480">
        <f t="shared" si="54"/>
        <v>136.46831955922866</v>
      </c>
      <c r="E54" s="1480">
        <f t="shared" si="81"/>
        <v>166.73864894795128</v>
      </c>
      <c r="F54" s="1480">
        <f t="shared" si="81"/>
        <v>115.05882352941177</v>
      </c>
      <c r="G54" s="3302">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1193</v>
      </c>
      <c r="B55" s="1480">
        <f t="shared" si="80"/>
        <v>144.04145728643215</v>
      </c>
      <c r="C55" s="1480">
        <f t="shared" si="80"/>
        <v>136.12396694214877</v>
      </c>
      <c r="D55" s="1480">
        <f t="shared" si="54"/>
        <v>136.12396694214877</v>
      </c>
      <c r="E55" s="1480">
        <f t="shared" si="81"/>
        <v>158.32225913621264</v>
      </c>
      <c r="F55" s="1480">
        <f t="shared" si="81"/>
        <v>114.04278074866311</v>
      </c>
      <c r="G55" s="3303">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1194</v>
      </c>
      <c r="B56" s="1493">
        <v>138</v>
      </c>
      <c r="C56" s="1493">
        <v>131</v>
      </c>
      <c r="D56" s="1493">
        <f t="shared" si="54"/>
        <v>131</v>
      </c>
      <c r="E56" s="1493">
        <v>155</v>
      </c>
      <c r="F56" s="1494">
        <v>114</v>
      </c>
      <c r="G56" s="3301">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1195</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02">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1196</v>
      </c>
      <c r="B58" s="1480">
        <f t="shared" si="84"/>
        <v>124.29032258064517</v>
      </c>
      <c r="C58" s="1480">
        <f t="shared" si="84"/>
        <v>123.8968609865471</v>
      </c>
      <c r="D58" s="1480">
        <f t="shared" si="54"/>
        <v>123.8968609865471</v>
      </c>
      <c r="E58" s="1480">
        <f t="shared" si="85"/>
        <v>138.00507614213197</v>
      </c>
      <c r="F58" s="1480">
        <f t="shared" si="85"/>
        <v>107.96106557377048</v>
      </c>
      <c r="G58" s="3302">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1197</v>
      </c>
      <c r="B59" s="1480">
        <f t="shared" si="84"/>
        <v>122.57204301075269</v>
      </c>
      <c r="C59" s="1480">
        <f t="shared" si="84"/>
        <v>123.4932735426009</v>
      </c>
      <c r="D59" s="1480">
        <f t="shared" si="54"/>
        <v>123.4932735426009</v>
      </c>
      <c r="E59" s="1480">
        <f t="shared" si="85"/>
        <v>129.82233502538071</v>
      </c>
      <c r="F59" s="1480">
        <f t="shared" si="85"/>
        <v>107.39446721311475</v>
      </c>
      <c r="G59" s="3303">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1198</v>
      </c>
      <c r="B60" s="1514">
        <v>121</v>
      </c>
      <c r="C60" s="1514">
        <v>122</v>
      </c>
      <c r="D60" s="1514">
        <f t="shared" si="54"/>
        <v>122</v>
      </c>
      <c r="E60" s="1514">
        <v>124</v>
      </c>
      <c r="F60" s="1515">
        <v>107</v>
      </c>
      <c r="G60" s="3301">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1199</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02">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1200</v>
      </c>
      <c r="B62" s="1480">
        <f t="shared" si="88"/>
        <v>116.99099099099099</v>
      </c>
      <c r="C62" s="1480">
        <f t="shared" si="88"/>
        <v>118.84848484848486</v>
      </c>
      <c r="D62" s="1480">
        <f t="shared" si="54"/>
        <v>118.84848484848486</v>
      </c>
      <c r="E62" s="1480">
        <f t="shared" si="89"/>
        <v>117.60960960960961</v>
      </c>
      <c r="F62" s="1480">
        <f t="shared" si="89"/>
        <v>104</v>
      </c>
      <c r="G62" s="3302">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1201</v>
      </c>
      <c r="B63" s="1517">
        <f t="shared" si="88"/>
        <v>112.48648648648648</v>
      </c>
      <c r="C63" s="1517">
        <f t="shared" si="88"/>
        <v>115.21212121212122</v>
      </c>
      <c r="D63" s="1517">
        <f t="shared" si="54"/>
        <v>115.21212121212122</v>
      </c>
      <c r="E63" s="1517">
        <f t="shared" si="89"/>
        <v>110.4024024024024</v>
      </c>
      <c r="F63" s="1517">
        <f t="shared" si="89"/>
        <v>104</v>
      </c>
      <c r="G63" s="3303">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1202</v>
      </c>
      <c r="B64" s="1535">
        <v>111</v>
      </c>
      <c r="C64" s="1535">
        <v>114</v>
      </c>
      <c r="D64" s="1535">
        <f t="shared" si="54"/>
        <v>114</v>
      </c>
      <c r="E64" s="1535">
        <v>108</v>
      </c>
      <c r="F64" s="1536">
        <v>104</v>
      </c>
      <c r="G64" s="3301">
        <v>2003</v>
      </c>
      <c r="H64" s="1525">
        <v>4</v>
      </c>
      <c r="I64" s="1537"/>
      <c r="J64" s="1537"/>
      <c r="K64" s="1537"/>
      <c r="L64" s="1537"/>
      <c r="N64" s="1538"/>
      <c r="O64" s="1537"/>
      <c r="P64" s="1537"/>
      <c r="Q64" s="1537"/>
      <c r="S64" s="1538"/>
      <c r="T64" s="1537"/>
      <c r="U64" s="1537"/>
      <c r="V64" s="1537"/>
      <c r="X64" s="1529"/>
      <c r="Y64" s="1529"/>
      <c r="Z64" s="1529"/>
    </row>
    <row r="65" spans="1:26">
      <c r="A65" s="1464" t="s">
        <v>1203</v>
      </c>
      <c r="B65" s="1539">
        <f t="shared" ref="B65:C67" si="90">B66+(B$64-B$68)/4</f>
        <v>109.75</v>
      </c>
      <c r="C65" s="1539">
        <f t="shared" si="90"/>
        <v>112.25</v>
      </c>
      <c r="D65" s="1539">
        <f t="shared" si="54"/>
        <v>112.25</v>
      </c>
      <c r="E65" s="1539">
        <f t="shared" ref="E65:F67" si="91">E66+(E$64-E$68)/4</f>
        <v>107.25</v>
      </c>
      <c r="F65" s="1539">
        <f t="shared" si="91"/>
        <v>103.5</v>
      </c>
      <c r="G65" s="3302">
        <v>2003</v>
      </c>
      <c r="H65" s="1490">
        <v>3</v>
      </c>
      <c r="I65" s="1537"/>
      <c r="J65" s="1537"/>
      <c r="K65" s="1537"/>
      <c r="L65" s="1537"/>
      <c r="X65" s="1529"/>
      <c r="Y65" s="1529"/>
      <c r="Z65" s="1529"/>
    </row>
    <row r="66" spans="1:26">
      <c r="A66" s="1464" t="s">
        <v>1204</v>
      </c>
      <c r="B66" s="1539">
        <f t="shared" si="90"/>
        <v>108.5</v>
      </c>
      <c r="C66" s="1539">
        <f t="shared" si="90"/>
        <v>110.5</v>
      </c>
      <c r="D66" s="1539">
        <f t="shared" si="54"/>
        <v>110.5</v>
      </c>
      <c r="E66" s="1539">
        <f t="shared" si="91"/>
        <v>106.5</v>
      </c>
      <c r="F66" s="1539">
        <f t="shared" si="91"/>
        <v>103</v>
      </c>
      <c r="G66" s="3302">
        <v>2003</v>
      </c>
      <c r="H66" s="1468">
        <v>2</v>
      </c>
      <c r="I66" s="1537"/>
      <c r="J66" s="1537"/>
      <c r="K66" s="1537"/>
      <c r="L66" s="1537"/>
      <c r="X66" s="1529"/>
      <c r="Y66" s="1529"/>
      <c r="Z66" s="1529"/>
    </row>
    <row r="67" spans="1:26" ht="13.5" thickBot="1">
      <c r="A67" s="1464" t="s">
        <v>1205</v>
      </c>
      <c r="B67" s="1539">
        <f t="shared" si="90"/>
        <v>107.25</v>
      </c>
      <c r="C67" s="1539">
        <f t="shared" si="90"/>
        <v>108.75</v>
      </c>
      <c r="D67" s="1539">
        <f t="shared" si="54"/>
        <v>108.75</v>
      </c>
      <c r="E67" s="1539">
        <f t="shared" si="91"/>
        <v>105.75</v>
      </c>
      <c r="F67" s="1539">
        <f t="shared" si="91"/>
        <v>102.5</v>
      </c>
      <c r="G67" s="3303">
        <v>2003</v>
      </c>
      <c r="H67" s="1540">
        <v>1</v>
      </c>
      <c r="I67" s="1537"/>
      <c r="J67" s="1537"/>
      <c r="K67" s="1537"/>
      <c r="L67" s="1537"/>
      <c r="S67" s="1475"/>
      <c r="T67" s="1476"/>
      <c r="U67" s="1476"/>
      <c r="X67" s="1529"/>
      <c r="Y67" s="1529"/>
      <c r="Z67" s="1529"/>
    </row>
    <row r="68" spans="1:26" ht="13.5" thickBot="1">
      <c r="A68" s="1464" t="s">
        <v>1206</v>
      </c>
      <c r="B68" s="1541">
        <v>106</v>
      </c>
      <c r="C68" s="1541">
        <v>107</v>
      </c>
      <c r="D68" s="1541">
        <f t="shared" si="54"/>
        <v>107</v>
      </c>
      <c r="E68" s="1541">
        <v>105</v>
      </c>
      <c r="F68" s="1542">
        <v>102</v>
      </c>
      <c r="G68" s="3301">
        <v>2002</v>
      </c>
      <c r="H68" s="1485">
        <v>4</v>
      </c>
      <c r="I68" s="1537"/>
      <c r="J68" s="1537"/>
      <c r="K68" s="1537"/>
      <c r="L68" s="1537"/>
      <c r="N68" s="1538"/>
      <c r="O68" s="1537"/>
      <c r="P68" s="1537"/>
      <c r="Q68" s="1537"/>
      <c r="S68" s="1538"/>
      <c r="T68" s="1537"/>
      <c r="U68" s="1537"/>
      <c r="V68" s="1537"/>
      <c r="X68" s="1529"/>
      <c r="Y68" s="1529"/>
      <c r="Z68" s="1529"/>
    </row>
    <row r="69" spans="1:26">
      <c r="A69" s="1464" t="s">
        <v>1207</v>
      </c>
      <c r="B69" s="1539">
        <f t="shared" ref="B69:C71" si="92">B70+(B$68-B$72)/4</f>
        <v>105</v>
      </c>
      <c r="C69" s="1539">
        <f t="shared" si="92"/>
        <v>106</v>
      </c>
      <c r="D69" s="1539">
        <f t="shared" si="54"/>
        <v>106</v>
      </c>
      <c r="E69" s="1539">
        <f t="shared" ref="E69:F71" si="93">E70+(E$68-E$72)/4</f>
        <v>104.5</v>
      </c>
      <c r="F69" s="1539">
        <f t="shared" si="93"/>
        <v>101.5</v>
      </c>
      <c r="G69" s="3302">
        <v>2002</v>
      </c>
      <c r="H69" s="1490">
        <v>3</v>
      </c>
      <c r="I69" s="1537"/>
      <c r="J69" s="1537"/>
      <c r="K69" s="1537"/>
      <c r="L69" s="1537"/>
      <c r="X69" s="1529"/>
      <c r="Y69" s="1529"/>
      <c r="Z69" s="1529"/>
    </row>
    <row r="70" spans="1:26">
      <c r="A70" s="1464" t="s">
        <v>1208</v>
      </c>
      <c r="B70" s="1539">
        <f t="shared" si="92"/>
        <v>104</v>
      </c>
      <c r="C70" s="1539">
        <f t="shared" si="92"/>
        <v>105</v>
      </c>
      <c r="D70" s="1539">
        <f t="shared" si="54"/>
        <v>105</v>
      </c>
      <c r="E70" s="1539">
        <f t="shared" si="93"/>
        <v>104</v>
      </c>
      <c r="F70" s="1539">
        <f t="shared" si="93"/>
        <v>101</v>
      </c>
      <c r="G70" s="3302">
        <v>2002</v>
      </c>
      <c r="H70" s="1468">
        <v>2</v>
      </c>
      <c r="I70" s="1537"/>
      <c r="J70" s="1537"/>
      <c r="K70" s="1537"/>
      <c r="L70" s="1537"/>
      <c r="X70" s="1529"/>
      <c r="Y70" s="1529"/>
      <c r="Z70" s="1529"/>
    </row>
    <row r="71" spans="1:26" s="1501" customFormat="1" ht="13.5" thickBot="1">
      <c r="A71" s="1497" t="s">
        <v>1209</v>
      </c>
      <c r="B71" s="1543">
        <f t="shared" si="92"/>
        <v>103</v>
      </c>
      <c r="C71" s="1543">
        <f t="shared" si="92"/>
        <v>104</v>
      </c>
      <c r="D71" s="1543">
        <f t="shared" si="54"/>
        <v>104</v>
      </c>
      <c r="E71" s="1543">
        <f t="shared" si="93"/>
        <v>103.5</v>
      </c>
      <c r="F71" s="1543">
        <f t="shared" si="93"/>
        <v>100.5</v>
      </c>
      <c r="G71" s="3303">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1210</v>
      </c>
      <c r="G74" s="1553"/>
      <c r="N74" s="1553"/>
      <c r="S74" s="1553"/>
    </row>
    <row r="75" spans="1:26" s="1552" customFormat="1">
      <c r="A75" s="1552" t="s">
        <v>1211</v>
      </c>
      <c r="G75" s="1553"/>
      <c r="N75" s="1553"/>
      <c r="S75" s="1553"/>
    </row>
    <row r="76" spans="1:26" s="1552" customFormat="1">
      <c r="A76" s="1552" t="s">
        <v>1212</v>
      </c>
      <c r="G76" s="1553"/>
      <c r="I76" s="1554"/>
      <c r="J76" s="1554"/>
      <c r="K76" s="1554"/>
      <c r="L76" s="1554"/>
      <c r="N76" s="1555"/>
      <c r="O76" s="1554"/>
      <c r="P76" s="1554"/>
      <c r="Q76" s="1554"/>
      <c r="S76" s="1555"/>
      <c r="T76" s="1554"/>
      <c r="U76" s="1554"/>
      <c r="V76" s="1554"/>
    </row>
    <row r="77" spans="1:26" s="1552" customFormat="1">
      <c r="A77" s="1552" t="s">
        <v>1213</v>
      </c>
      <c r="G77" s="1553"/>
      <c r="N77" s="1553"/>
      <c r="S77" s="1553"/>
    </row>
    <row r="84" spans="7:22" ht="13.5" thickBot="1"/>
    <row r="85" spans="7:22">
      <c r="G85" s="1474"/>
      <c r="S85" s="1556" t="s">
        <v>1214</v>
      </c>
      <c r="T85" s="1557" t="s">
        <v>1215</v>
      </c>
      <c r="U85" s="1557" t="s">
        <v>1216</v>
      </c>
      <c r="V85" s="1557" t="s">
        <v>1217</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31819</v>
      </c>
      <c r="C2" s="2" t="s">
        <v>133</v>
      </c>
      <c r="D2" s="243"/>
      <c r="E2" s="243"/>
      <c r="F2" s="243"/>
      <c r="G2" s="243"/>
    </row>
    <row r="3" spans="1:7" s="244" customFormat="1" ht="18" customHeight="1" thickBot="1">
      <c r="A3" s="247" t="s">
        <v>85</v>
      </c>
      <c r="B3" s="248">
        <f ca="1">ROUND(B2*10000/'数据-汇总表'!E3,0)</f>
        <v>102760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1147</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62</v>
      </c>
      <c r="D10" s="1035">
        <f>'数据-汇总表'!E6</f>
        <v>3096.45</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62</v>
      </c>
      <c r="D19" s="1039">
        <f>'数据-汇总表'!E3</f>
        <v>3096.45</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909</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6326</v>
      </c>
      <c r="D27" s="279">
        <f>C29</f>
        <v>6.0000000000000001E-3</v>
      </c>
      <c r="E27" s="280" t="s">
        <v>126</v>
      </c>
      <c r="F27" s="290">
        <f>'数据-取费表'!Q16</f>
        <v>0.3</v>
      </c>
      <c r="G27" s="291" t="s">
        <v>1069</v>
      </c>
    </row>
    <row r="28" spans="1:7" s="258" customFormat="1" ht="13.5" customHeight="1">
      <c r="A28" s="954" t="s">
        <v>794</v>
      </c>
      <c r="B28" s="292" t="s">
        <v>1062</v>
      </c>
      <c r="C28" s="293">
        <f>ROUND((C5+C19+C20)*F27*'数据-取费表'!B21/'数据-取费表'!B20,0)</f>
        <v>6326</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951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842</v>
      </c>
      <c r="D34" s="261"/>
      <c r="E34" s="264"/>
      <c r="F34" s="301">
        <f>IF('数据-取费表'!B24=0,1,'数据-取费表'!N16)</f>
        <v>1</v>
      </c>
      <c r="G34" s="263" t="s">
        <v>116</v>
      </c>
    </row>
    <row r="35" spans="1:7" ht="13.5" customHeight="1">
      <c r="A35" s="954" t="s">
        <v>796</v>
      </c>
      <c r="B35" s="259" t="s">
        <v>60</v>
      </c>
      <c r="C35" s="264">
        <f>ROUND(C34*F35,0)</f>
        <v>34</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62</v>
      </c>
      <c r="D37" s="261">
        <f>'数据-汇总表'!E3</f>
        <v>3096.45</v>
      </c>
      <c r="E37" s="293">
        <f>'数据-取费表'!B35</f>
        <v>200</v>
      </c>
      <c r="F37" s="303"/>
      <c r="G37" s="305" t="s">
        <v>119</v>
      </c>
    </row>
    <row r="38" spans="1:7" ht="13.5" customHeight="1">
      <c r="A38" s="954" t="s">
        <v>799</v>
      </c>
      <c r="B38" s="259" t="s">
        <v>63</v>
      </c>
      <c r="C38" s="264">
        <f>ROUND(C34*F38,0)</f>
        <v>13</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21</v>
      </c>
      <c r="D42" s="282"/>
      <c r="E42" s="282"/>
      <c r="F42" s="283"/>
      <c r="G42" s="3176" t="s">
        <v>121</v>
      </c>
    </row>
    <row r="43" spans="1:7" ht="13.5" customHeight="1">
      <c r="A43" s="954" t="s">
        <v>792</v>
      </c>
      <c r="B43" s="259" t="s">
        <v>1064</v>
      </c>
      <c r="C43" s="282">
        <f ca="1">ROUND(IF('数据-取费表'!B22&lt;=1,C39*F22*'数据-取费表'!B21/2,C39*(POWER((1+F22),'数据-取费表'!B21/2)-1)),0)</f>
        <v>0</v>
      </c>
      <c r="D43" s="282"/>
      <c r="E43" s="282"/>
      <c r="F43" s="283"/>
      <c r="G43" s="3177"/>
    </row>
    <row r="44" spans="1:7" ht="13.5" customHeight="1">
      <c r="A44" s="954" t="s">
        <v>793</v>
      </c>
      <c r="B44" s="259" t="s">
        <v>1066</v>
      </c>
      <c r="C44" s="282">
        <f ca="1">ROUND(IF('数据-取费表'!B22&lt;=1,C40*F22*'数据-取费表'!B21/2,C40*(POWER((1+F22),'数据-取费表'!B21/2)-1)),4)</f>
        <v>4.0000000000000002E-4</v>
      </c>
      <c r="D44" s="282"/>
      <c r="E44" s="282"/>
      <c r="F44" s="283"/>
      <c r="G44" s="3178"/>
    </row>
    <row r="45" spans="1:7" s="258" customFormat="1" ht="13.5" customHeight="1">
      <c r="A45" s="951" t="s">
        <v>786</v>
      </c>
      <c r="B45" s="288" t="s">
        <v>112</v>
      </c>
      <c r="C45" s="289">
        <f>C46</f>
        <v>291</v>
      </c>
      <c r="D45" s="279">
        <f>C47</f>
        <v>6.0000000000000001E-3</v>
      </c>
      <c r="E45" s="280" t="s">
        <v>129</v>
      </c>
      <c r="F45" s="290"/>
      <c r="G45" s="291" t="s">
        <v>1072</v>
      </c>
    </row>
    <row r="46" spans="1:7" s="258" customFormat="1" ht="13.5" customHeight="1">
      <c r="A46" s="954" t="s">
        <v>794</v>
      </c>
      <c r="B46" s="292" t="s">
        <v>1065</v>
      </c>
      <c r="C46" s="293">
        <f>ROUND((C33+C39)*F27,0)</f>
        <v>291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1393</v>
      </c>
      <c r="D49" s="276"/>
      <c r="E49" s="276"/>
      <c r="F49" s="308"/>
      <c r="G49" s="278" t="s">
        <v>1073</v>
      </c>
    </row>
    <row r="50" spans="1:7" s="302" customFormat="1" ht="24">
      <c r="A50" s="951" t="s">
        <v>789</v>
      </c>
      <c r="B50" s="254" t="s">
        <v>124</v>
      </c>
      <c r="C50" s="276"/>
      <c r="D50" s="276"/>
      <c r="E50" s="276"/>
      <c r="F50" s="308">
        <f>IF('数据-取费表'!B24=0,'数据-取费表'!N16,1)</f>
        <v>0.75</v>
      </c>
      <c r="G50" s="291" t="s">
        <v>125</v>
      </c>
    </row>
    <row r="51" spans="1:7" ht="16.5" customHeight="1">
      <c r="A51" s="951" t="s">
        <v>790</v>
      </c>
      <c r="B51" s="254" t="s">
        <v>132</v>
      </c>
      <c r="C51" s="276">
        <f ca="1">ROUND(C49*F50,0)</f>
        <v>1045</v>
      </c>
      <c r="D51" s="276"/>
      <c r="E51" s="276"/>
      <c r="F51" s="308"/>
      <c r="G51" s="278" t="s">
        <v>64</v>
      </c>
    </row>
    <row r="52" spans="1:7" s="252" customFormat="1" ht="16.5" thickBot="1">
      <c r="A52" s="309" t="s">
        <v>65</v>
      </c>
      <c r="B52" s="310"/>
      <c r="C52" s="311">
        <f ca="1">C31+C51</f>
        <v>31819</v>
      </c>
      <c r="D52" s="310"/>
      <c r="E52" s="310"/>
      <c r="F52" s="310"/>
      <c r="G52" s="312"/>
    </row>
    <row r="55" spans="1:7" ht="15">
      <c r="B55" s="314" t="s">
        <v>66</v>
      </c>
      <c r="C55" s="315"/>
    </row>
    <row r="56" spans="1:7">
      <c r="B56" s="317" t="s">
        <v>67</v>
      </c>
      <c r="C56" s="318">
        <f ca="1">ROUND(C51/C52,3)</f>
        <v>3.3000000000000002E-2</v>
      </c>
    </row>
    <row r="57" spans="1:7">
      <c r="B57" s="317" t="s">
        <v>68</v>
      </c>
      <c r="C57" s="319">
        <f ca="1">1-C56</f>
        <v>0.96699999999999997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11" t="s">
        <v>156</v>
      </c>
      <c r="B1" s="3311"/>
      <c r="C1" s="3311"/>
      <c r="D1" s="3311"/>
      <c r="E1" s="3311"/>
      <c r="F1" s="331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2" t="s">
        <v>169</v>
      </c>
      <c r="B2" s="3312"/>
      <c r="C2" s="3312"/>
      <c r="D2" s="3312"/>
      <c r="E2" s="3312"/>
      <c r="F2" s="331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1" t="s">
        <v>871</v>
      </c>
      <c r="B1" s="331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1299</v>
      </c>
      <c r="C1" s="1697">
        <f>项目基本情况!D3</f>
        <v>43359</v>
      </c>
      <c r="D1" s="1703" t="s">
        <v>1300</v>
      </c>
      <c r="E1" s="1698">
        <f>'数据-取费表'!B22</f>
        <v>1</v>
      </c>
      <c r="F1" s="1703" t="s">
        <v>1301</v>
      </c>
      <c r="G1" s="1699">
        <f ca="1">INDIRECT("d"&amp;$K$1)/100</f>
        <v>4.3499999999999997E-2</v>
      </c>
      <c r="H1" s="1703" t="s">
        <v>1331</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1302</v>
      </c>
      <c r="E2" s="1639"/>
      <c r="F2" s="1639" t="s">
        <v>1303</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1304</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1305</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1306</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1307</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1308</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1309</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1310</v>
      </c>
      <c r="C10" s="1667"/>
      <c r="D10" s="1667"/>
      <c r="E10" s="1667"/>
      <c r="F10" s="1667"/>
      <c r="G10" s="1667"/>
      <c r="H10" s="1667"/>
      <c r="I10" s="1641"/>
      <c r="J10" s="1641"/>
      <c r="K10" s="1667"/>
      <c r="L10" s="1668" t="s">
        <v>1311</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1312</v>
      </c>
      <c r="C11" s="1672" t="s">
        <v>1313</v>
      </c>
      <c r="D11" s="1673" t="s">
        <v>1314</v>
      </c>
      <c r="E11" s="1674"/>
      <c r="F11" s="1673" t="s">
        <v>1315</v>
      </c>
      <c r="G11" s="1675"/>
      <c r="H11" s="1674"/>
      <c r="I11" s="1673" t="s">
        <v>1316</v>
      </c>
      <c r="J11" s="1674"/>
      <c r="K11" s="1670"/>
      <c r="L11" s="1671" t="s">
        <v>1312</v>
      </c>
      <c r="M11" s="1672" t="s">
        <v>1313</v>
      </c>
      <c r="N11" s="1671" t="s">
        <v>1317</v>
      </c>
      <c r="O11" s="1673" t="s">
        <v>1318</v>
      </c>
      <c r="P11" s="1675"/>
      <c r="Q11" s="1675"/>
      <c r="R11" s="1675"/>
      <c r="S11" s="1675"/>
      <c r="T11" s="1674"/>
      <c r="U11" s="1673" t="s">
        <v>1319</v>
      </c>
      <c r="V11" s="1675"/>
      <c r="W11" s="1674"/>
      <c r="X11" s="1671" t="s">
        <v>1320</v>
      </c>
      <c r="Y11" s="1671" t="s">
        <v>1321</v>
      </c>
      <c r="Z11" s="1671" t="s">
        <v>1322</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1323</v>
      </c>
      <c r="E12" s="1680" t="s">
        <v>1324</v>
      </c>
      <c r="F12" s="1680" t="s">
        <v>1325</v>
      </c>
      <c r="G12" s="1680" t="s">
        <v>1326</v>
      </c>
      <c r="H12" s="1680" t="s">
        <v>1308</v>
      </c>
      <c r="I12" s="1681" t="s">
        <v>1327</v>
      </c>
      <c r="J12" s="1681" t="s">
        <v>1327</v>
      </c>
      <c r="K12" s="1677"/>
      <c r="L12" s="1678"/>
      <c r="M12" s="1679"/>
      <c r="N12" s="1678"/>
      <c r="O12" s="1681" t="s">
        <v>1328</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1329</v>
      </c>
      <c r="C13" s="1685">
        <v>42301</v>
      </c>
      <c r="D13" s="1686">
        <v>4.3499999999999996</v>
      </c>
      <c r="E13" s="1686">
        <v>4.3499999999999996</v>
      </c>
      <c r="F13" s="1686">
        <v>4.75</v>
      </c>
      <c r="G13" s="1686">
        <v>4.75</v>
      </c>
      <c r="H13" s="1686">
        <v>4.9000000000000004</v>
      </c>
      <c r="I13" s="1686">
        <v>2.75</v>
      </c>
      <c r="J13" s="1686">
        <v>3.25</v>
      </c>
      <c r="K13" s="1683"/>
      <c r="L13" s="1684" t="s">
        <v>1329</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1330</v>
      </c>
      <c r="Y42" s="1690" t="s">
        <v>1330</v>
      </c>
      <c r="Z42" s="1690" t="s">
        <v>1330</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1330</v>
      </c>
      <c r="Y43" s="1690" t="s">
        <v>1330</v>
      </c>
      <c r="Z43" s="1690" t="s">
        <v>1330</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1330</v>
      </c>
      <c r="Y44" s="1690" t="s">
        <v>1330</v>
      </c>
      <c r="Z44" s="1690" t="s">
        <v>1330</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1330</v>
      </c>
      <c r="Y45" s="1690" t="s">
        <v>1330</v>
      </c>
      <c r="Z45" s="1690" t="s">
        <v>1330</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1330</v>
      </c>
      <c r="Y46" s="1690" t="s">
        <v>1330</v>
      </c>
      <c r="Z46" s="1690" t="s">
        <v>1330</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1330</v>
      </c>
      <c r="Y47" s="1690" t="s">
        <v>1330</v>
      </c>
      <c r="Z47" s="1690" t="s">
        <v>1330</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1330</v>
      </c>
      <c r="Y48" s="1690" t="s">
        <v>1330</v>
      </c>
      <c r="Z48" s="1690" t="s">
        <v>1330</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1330</v>
      </c>
      <c r="Y49" s="1690" t="s">
        <v>1330</v>
      </c>
      <c r="Z49" s="1690" t="s">
        <v>1330</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1330</v>
      </c>
      <c r="Y50" s="1690" t="s">
        <v>1330</v>
      </c>
      <c r="Z50" s="1690" t="s">
        <v>1330</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1330</v>
      </c>
      <c r="V51" s="1690" t="s">
        <v>1330</v>
      </c>
      <c r="W51" s="1690" t="s">
        <v>1330</v>
      </c>
      <c r="X51" s="1690" t="s">
        <v>1330</v>
      </c>
      <c r="Y51" s="1690" t="s">
        <v>1330</v>
      </c>
      <c r="Z51" s="1690" t="s">
        <v>1330</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1330</v>
      </c>
      <c r="J55" s="1690" t="s">
        <v>1330</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1371</v>
      </c>
      <c r="E1" s="1779" t="s">
        <v>1375</v>
      </c>
      <c r="F1" s="1780" t="s">
        <v>1379</v>
      </c>
    </row>
    <row r="2" spans="1:13" ht="20.25">
      <c r="A2" s="1786" t="s">
        <v>1372</v>
      </c>
    </row>
    <row r="3" spans="1:13" ht="16.5">
      <c r="A3" s="1787" t="s">
        <v>1373</v>
      </c>
    </row>
    <row r="4" spans="1:13" ht="14.25">
      <c r="A4" s="1777" t="s">
        <v>1374</v>
      </c>
      <c r="B4" s="1782" t="s">
        <v>1376</v>
      </c>
      <c r="C4" s="1783"/>
      <c r="D4" s="1784"/>
      <c r="E4" s="1782" t="s">
        <v>27</v>
      </c>
      <c r="F4" s="1783"/>
      <c r="G4" s="1784"/>
      <c r="H4" s="1782" t="s">
        <v>1377</v>
      </c>
      <c r="I4" s="1783"/>
      <c r="J4" s="1784"/>
      <c r="K4" s="1782" t="s">
        <v>6</v>
      </c>
      <c r="L4" s="1783"/>
      <c r="M4" s="1784"/>
    </row>
    <row r="5" spans="1:13" ht="14.25">
      <c r="A5" s="1778" t="s">
        <v>1378</v>
      </c>
      <c r="B5" s="1777" t="s">
        <v>1380</v>
      </c>
      <c r="C5" s="1777" t="s">
        <v>1381</v>
      </c>
      <c r="D5" s="1777" t="s">
        <v>1382</v>
      </c>
      <c r="E5" s="1777" t="s">
        <v>1380</v>
      </c>
      <c r="F5" s="1777" t="s">
        <v>1381</v>
      </c>
      <c r="G5" s="1777" t="s">
        <v>1382</v>
      </c>
      <c r="H5" s="1777" t="s">
        <v>1380</v>
      </c>
      <c r="I5" s="1777" t="s">
        <v>1381</v>
      </c>
      <c r="J5" s="1777" t="s">
        <v>1382</v>
      </c>
      <c r="K5" s="1777" t="s">
        <v>1380</v>
      </c>
      <c r="L5" s="1777" t="s">
        <v>1381</v>
      </c>
      <c r="M5" s="1777" t="s">
        <v>1382</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E8" sqref="E8"/>
    </sheetView>
  </sheetViews>
  <sheetFormatPr defaultRowHeight="13.5"/>
  <cols>
    <col min="1" max="4" width="9" style="2972"/>
    <col min="5" max="5" width="14.875" style="2972" customWidth="1"/>
    <col min="6" max="16384" width="9" style="2972"/>
  </cols>
  <sheetData>
    <row r="2" spans="2:5">
      <c r="B2" s="2971" t="s">
        <v>3088</v>
      </c>
      <c r="C2" s="2971" t="s">
        <v>3089</v>
      </c>
      <c r="D2" s="2971" t="s">
        <v>3090</v>
      </c>
      <c r="E2" s="2971" t="s">
        <v>3091</v>
      </c>
    </row>
    <row r="3" spans="2:5">
      <c r="B3" s="2973">
        <v>1</v>
      </c>
      <c r="C3" s="2973">
        <f>'数据-汇总表'!F19</f>
        <v>2876.99</v>
      </c>
      <c r="D3" s="2973">
        <f ca="1">结果表!G20</f>
        <v>23557</v>
      </c>
      <c r="E3" s="2973">
        <f ca="1">ROUND(D3*C3,0)</f>
        <v>67773253</v>
      </c>
    </row>
    <row r="4" spans="2:5">
      <c r="B4" s="2973">
        <v>2</v>
      </c>
      <c r="C4" s="2973">
        <f>C3</f>
        <v>2876.99</v>
      </c>
      <c r="D4" s="2973">
        <f ca="1">ROUND(D3*0.8,0)</f>
        <v>18846</v>
      </c>
      <c r="E4" s="2973">
        <f t="shared" ref="E4:E6" ca="1" si="0">ROUND(D4*C4,0)</f>
        <v>54219754</v>
      </c>
    </row>
    <row r="5" spans="2:5">
      <c r="B5" s="2973">
        <v>3</v>
      </c>
      <c r="C5" s="2973">
        <f>C3</f>
        <v>2876.99</v>
      </c>
      <c r="D5" s="2973">
        <f ca="1">ROUND(D3*0.7,0)</f>
        <v>16490</v>
      </c>
      <c r="E5" s="2973">
        <f t="shared" ca="1" si="0"/>
        <v>47441565</v>
      </c>
    </row>
    <row r="6" spans="2:5">
      <c r="B6" s="2971" t="s">
        <v>3092</v>
      </c>
      <c r="C6" s="2971">
        <f>'数据-汇总表'!G22</f>
        <v>0</v>
      </c>
      <c r="D6" s="2973" t="e">
        <f ca="1">ROUND('成本法 (地下)'!B3*0.7+'收益法 (地下)'!B3*0.3,0)</f>
        <v>#N/A</v>
      </c>
      <c r="E6" s="2973" t="e">
        <f t="shared" ca="1" si="0"/>
        <v>#N/A</v>
      </c>
    </row>
    <row r="7" spans="2:5">
      <c r="B7" s="2974" t="s">
        <v>3093</v>
      </c>
      <c r="C7" s="2975">
        <f>SUM(C3:C6)</f>
        <v>8630.9699999999993</v>
      </c>
      <c r="D7" s="2974">
        <f ca="1">ROUND(E7/C7,0)</f>
        <v>8451</v>
      </c>
      <c r="E7" s="2975">
        <f ca="1">结果表!G19*10000</f>
        <v>72940000</v>
      </c>
    </row>
  </sheetData>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0" workbookViewId="0">
      <selection activeCell="N108" sqref="N108"/>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典型户型修正</vt:lpstr>
      <vt:lpstr>收益法 (元)</vt:lpstr>
      <vt:lpstr>收益法 (地下)</vt:lpstr>
      <vt:lpstr>租约整理</vt:lpstr>
      <vt:lpstr>成本法 (元)</vt:lpstr>
      <vt:lpstr>假设开发法</vt:lpstr>
      <vt:lpstr>收益法</vt:lpstr>
      <vt:lpstr>成本法 (地下)</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基准地价修正 (地下)</vt:lpstr>
      <vt:lpstr>地价</vt:lpstr>
      <vt:lpstr>成本法（废）</vt:lpstr>
      <vt:lpstr>区片价</vt:lpstr>
      <vt:lpstr>因素修正幅度</vt:lpstr>
      <vt:lpstr>存贷款利率</vt:lpstr>
      <vt:lpstr>区片价（范围）</vt:lpstr>
      <vt:lpstr>结果汇总</vt:lpstr>
      <vt:lpstr>案例</vt:lpstr>
      <vt:lpstr>估价师及机构信息!Print_Area</vt:lpstr>
      <vt:lpstr>收益法!Print_Area</vt:lpstr>
      <vt:lpstr>'收益法 (地下)'!Print_Area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(地下)'!季度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2018-12-05T09:55:26Z</cp:lastPrinted>
  <dcterms:created xsi:type="dcterms:W3CDTF">2015-07-13T07:17:23Z</dcterms:created>
  <dcterms:modified xsi:type="dcterms:W3CDTF">2018-12-06T09:29:22Z</dcterms:modified>
</cp:coreProperties>
</file>