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G:\高鹏\项目\昌平金隅上城郡售价\测算\"/>
    </mc:Choice>
  </mc:AlternateContent>
  <xr:revisionPtr revIDLastSave="0" documentId="13_ncr:1_{AC2145C0-D4D5-4649-B5F5-6447C74F87A3}" xr6:coauthVersionLast="47" xr6:coauthVersionMax="47" xr10:uidLastSave="{00000000-0000-0000-0000-000000000000}"/>
  <bookViews>
    <workbookView xWindow="30" yWindow="120" windowWidth="18435" windowHeight="20835"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比较法-住宅 (租金)" sheetId="82" r:id="rId34"/>
    <sheet name="收益法 (元)" sheetId="67" r:id="rId35"/>
    <sheet name="存贷款利率" sheetId="73" r:id="rId36"/>
    <sheet name="案例" sheetId="81" r:id="rId37"/>
    <sheet name="房源表" sheetId="83" r:id="rId38"/>
    <sheet name="成本法 (元)" sheetId="69"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s>
  <externalReferences>
    <externalReference r:id="rId49"/>
    <externalReference r:id="rId5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3" hidden="1">'比较法-住宅 (租金)'!$A$1:$L$49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3">'比较法-住宅 (租金)'!$A$1:$K$54,'比较法-住宅 (租金)'!$A$57:$M$131</definedName>
    <definedName name="_xlnm.Print_Area" localSheetId="18">成本法!$A$1:$G$57</definedName>
    <definedName name="_xlnm.Print_Area" localSheetId="38">'成本法 (元)'!$A$1:$G$57</definedName>
    <definedName name="_xlnm.Print_Area" localSheetId="37">房源表!$AA$1:$AC$87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4">'收益法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37">房源表!$1:$1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33">'比较法-住宅 (租金)'!$B$88:$M$88</definedName>
    <definedName name="住宅朝向">'比较法-住宅'!$B$88:$M$88</definedName>
    <definedName name="住宅房型" localSheetId="33">'比较法-住宅 (租金)'!$B$118:$M$118</definedName>
    <definedName name="住宅房型">'比较法-住宅'!$B$118:$M$118</definedName>
    <definedName name="住宅公共部分装修" localSheetId="33">'比较法-住宅 (租金)'!$B$109:$M$109</definedName>
    <definedName name="住宅公共部分装修">'比较法-住宅'!$B$109:$M$109</definedName>
    <definedName name="住宅基础设施水平" localSheetId="33">'比较法-住宅 (租金)'!$B$116:$M$116</definedName>
    <definedName name="住宅基础设施水平">'比较法-住宅'!$B$116:$M$116</definedName>
    <definedName name="住宅建筑结构" localSheetId="33">'比较法-住宅 (租金)'!$B$105:$M$105</definedName>
    <definedName name="住宅建筑结构">'比较法-住宅'!$B$105:$M$105</definedName>
    <definedName name="住宅建筑类型" localSheetId="33">'比较法-住宅 (租金)'!$B$100:$M$100</definedName>
    <definedName name="住宅建筑类型">'比较法-住宅'!$B$100:$M$100</definedName>
    <definedName name="住宅建筑品质" localSheetId="33">'比较法-住宅 (租金)'!$B$107:$M$107</definedName>
    <definedName name="住宅建筑品质">'比较法-住宅'!$B$107:$M$107</definedName>
    <definedName name="住宅交易情况" localSheetId="33">'比较法-住宅 (租金)'!$A$61:$M$61</definedName>
    <definedName name="住宅交易情况">'比较法-住宅'!$A$61:$M$61</definedName>
    <definedName name="住宅楼层" localSheetId="33">'比较法-住宅 (租金)'!$B$86:$M$86</definedName>
    <definedName name="住宅楼层">'比较法-住宅'!$B$86:$M$86</definedName>
    <definedName name="住宅内部装修" localSheetId="33">'比较法-住宅 (租金)'!$B$122:$M$122</definedName>
    <definedName name="住宅内部装修">'比较法-住宅'!$B$122:$M$122</definedName>
    <definedName name="住宅物业管理" localSheetId="33">'比较法-住宅 (租金)'!$B$114:$M$114</definedName>
    <definedName name="住宅物业管理">'比较法-住宅'!$B$114:$M$114</definedName>
    <definedName name="住宅用途" localSheetId="33">'比较法-住宅 (租金)'!$B$63:$M$63</definedName>
    <definedName name="住宅用途">'比较法-住宅'!$B$63:$M$63</definedName>
    <definedName name="住宅主力户型面积" localSheetId="33">'比较法-住宅 (租金)'!$B$120:$M$120</definedName>
    <definedName name="住宅主力户型面积">'比较法-住宅'!$B$120:$M$120</definedName>
    <definedName name="注册房地产估价师">估价师及机构信息!$A$3:$A$16</definedName>
  </definedNames>
  <calcPr calcId="181029"/>
  <pivotCaches>
    <pivotCache cacheId="0" r:id="rId51"/>
    <pivotCache cacheId="1" r:id="rId52"/>
  </pivotCaches>
</workbook>
</file>

<file path=xl/calcChain.xml><?xml version="1.0" encoding="utf-8"?>
<calcChain xmlns="http://schemas.openxmlformats.org/spreadsheetml/2006/main">
  <c r="H33" i="82" l="1"/>
  <c r="I656" i="83"/>
  <c r="J37" i="82"/>
  <c r="H37" i="82"/>
  <c r="F37" i="82"/>
  <c r="F113" i="82"/>
  <c r="E113" i="82" s="1"/>
  <c r="D113" i="82" s="1"/>
  <c r="C113" i="82" s="1"/>
  <c r="I112" i="21"/>
  <c r="F113" i="21" s="1"/>
  <c r="F37" i="21" s="1"/>
  <c r="H37" i="21" s="1"/>
  <c r="G111" i="21"/>
  <c r="F40" i="67"/>
  <c r="E113" i="21" l="1"/>
  <c r="I47" i="82"/>
  <c r="G47" i="82"/>
  <c r="E47" i="82"/>
  <c r="G51" i="82"/>
  <c r="C145" i="82"/>
  <c r="J142" i="82"/>
  <c r="J140" i="82"/>
  <c r="K145" i="82" s="1"/>
  <c r="K139" i="82"/>
  <c r="K143" i="82" s="1"/>
  <c r="B130" i="82"/>
  <c r="I128" i="82"/>
  <c r="G129" i="82" s="1"/>
  <c r="B128" i="82"/>
  <c r="D127" i="82"/>
  <c r="E127" i="82" s="1"/>
  <c r="F127" i="82" s="1"/>
  <c r="B126" i="82"/>
  <c r="D125" i="82"/>
  <c r="E125" i="82" s="1"/>
  <c r="F125" i="82" s="1"/>
  <c r="G125" i="82" s="1"/>
  <c r="D123" i="82"/>
  <c r="E123" i="82" s="1"/>
  <c r="F123" i="82" s="1"/>
  <c r="D119" i="82"/>
  <c r="E119" i="82" s="1"/>
  <c r="D117" i="82"/>
  <c r="E117" i="82" s="1"/>
  <c r="F117" i="82" s="1"/>
  <c r="G117" i="82" s="1"/>
  <c r="E115" i="82"/>
  <c r="F115" i="82" s="1"/>
  <c r="G115" i="82" s="1"/>
  <c r="H115" i="82" s="1"/>
  <c r="I115" i="82" s="1"/>
  <c r="J115" i="82" s="1"/>
  <c r="K115" i="82" s="1"/>
  <c r="L115" i="82" s="1"/>
  <c r="M115" i="82" s="1"/>
  <c r="D115" i="82"/>
  <c r="H111" i="82"/>
  <c r="G111" i="82"/>
  <c r="F111" i="82"/>
  <c r="E111" i="82"/>
  <c r="D111" i="82"/>
  <c r="C111" i="82"/>
  <c r="D110" i="82"/>
  <c r="E110" i="82" s="1"/>
  <c r="F110" i="82" s="1"/>
  <c r="G110" i="82" s="1"/>
  <c r="H110" i="82" s="1"/>
  <c r="I110" i="82" s="1"/>
  <c r="J110" i="82" s="1"/>
  <c r="K110" i="82" s="1"/>
  <c r="L110" i="82" s="1"/>
  <c r="M110" i="82" s="1"/>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F104" i="82"/>
  <c r="G104" i="82" s="1"/>
  <c r="H104" i="82" s="1"/>
  <c r="I104" i="82" s="1"/>
  <c r="J104" i="82" s="1"/>
  <c r="D104" i="82"/>
  <c r="C104"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F91" i="82"/>
  <c r="D91" i="82"/>
  <c r="C91" i="82" s="1"/>
  <c r="B90" i="82"/>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D66" i="82"/>
  <c r="B65" i="82"/>
  <c r="C63" i="82"/>
  <c r="D59" i="82"/>
  <c r="E59" i="82" s="1"/>
  <c r="F59" i="82" s="1"/>
  <c r="G59" i="82" s="1"/>
  <c r="H59" i="82" s="1"/>
  <c r="I59" i="82" s="1"/>
  <c r="J59" i="82" s="1"/>
  <c r="K59" i="82" s="1"/>
  <c r="L59" i="82" s="1"/>
  <c r="M59" i="82" s="1"/>
  <c r="N59" i="82" s="1"/>
  <c r="O59" i="82" s="1"/>
  <c r="P59" i="82" s="1"/>
  <c r="Q59" i="82" s="1"/>
  <c r="R59" i="82" s="1"/>
  <c r="S59" i="82" s="1"/>
  <c r="T59" i="82" s="1"/>
  <c r="U59" i="82" s="1"/>
  <c r="V59" i="82" s="1"/>
  <c r="I54" i="82"/>
  <c r="J54" i="82" s="1"/>
  <c r="G54" i="82"/>
  <c r="H54" i="82" s="1"/>
  <c r="E54" i="82"/>
  <c r="F54" i="82" s="1"/>
  <c r="I51" i="82"/>
  <c r="E51" i="82"/>
  <c r="P49" i="82"/>
  <c r="P48" i="82"/>
  <c r="K48" i="82"/>
  <c r="V47" i="82"/>
  <c r="T47" i="82"/>
  <c r="R47" i="82"/>
  <c r="P47" i="82"/>
  <c r="Z46" i="82"/>
  <c r="Q46" i="82"/>
  <c r="J46" i="82"/>
  <c r="AC46" i="82" s="1"/>
  <c r="H46" i="82"/>
  <c r="AB46" i="82" s="1"/>
  <c r="F46" i="82"/>
  <c r="AA46" i="82" s="1"/>
  <c r="Q45" i="82"/>
  <c r="Z45" i="82" s="1"/>
  <c r="Q44" i="82"/>
  <c r="Z44" i="82" s="1"/>
  <c r="J44" i="82"/>
  <c r="AC44" i="82" s="1"/>
  <c r="F44" i="82"/>
  <c r="AA44" i="82" s="1"/>
  <c r="AA43" i="82"/>
  <c r="Q43" i="82"/>
  <c r="Z43" i="82" s="1"/>
  <c r="J43" i="82"/>
  <c r="AC43" i="82" s="1"/>
  <c r="H43" i="82"/>
  <c r="AB43" i="82" s="1"/>
  <c r="F43" i="82"/>
  <c r="S43" i="82" s="1"/>
  <c r="Z42" i="82"/>
  <c r="Q42" i="82"/>
  <c r="AC41" i="82"/>
  <c r="W41" i="82"/>
  <c r="Q41" i="82"/>
  <c r="Z41" i="82" s="1"/>
  <c r="J41" i="82"/>
  <c r="H41" i="82"/>
  <c r="AB41" i="82" s="1"/>
  <c r="F41" i="82"/>
  <c r="AA41" i="82" s="1"/>
  <c r="Q40" i="82"/>
  <c r="Z40" i="82" s="1"/>
  <c r="H40" i="82"/>
  <c r="AB40" i="82" s="1"/>
  <c r="Q39" i="82"/>
  <c r="Z39" i="82" s="1"/>
  <c r="J39" i="82"/>
  <c r="AC39" i="82" s="1"/>
  <c r="H39" i="82"/>
  <c r="AB39" i="82" s="1"/>
  <c r="F39" i="82"/>
  <c r="AA39" i="82" s="1"/>
  <c r="Z38" i="82"/>
  <c r="Q38" i="82"/>
  <c r="J38" i="82"/>
  <c r="AC38" i="82" s="1"/>
  <c r="H38" i="82"/>
  <c r="AB38" i="82" s="1"/>
  <c r="F38" i="82"/>
  <c r="AA38" i="82" s="1"/>
  <c r="Q37" i="82"/>
  <c r="Z37" i="82" s="1"/>
  <c r="Q36" i="82"/>
  <c r="Z36" i="82" s="1"/>
  <c r="J36" i="82"/>
  <c r="AC36" i="82" s="1"/>
  <c r="H36" i="82"/>
  <c r="AB36" i="82" s="1"/>
  <c r="F36" i="82"/>
  <c r="AA36" i="82" s="1"/>
  <c r="Z35" i="82"/>
  <c r="Q35" i="82"/>
  <c r="J35" i="82"/>
  <c r="AC35" i="82" s="1"/>
  <c r="H35" i="82"/>
  <c r="AB35" i="82" s="1"/>
  <c r="F35" i="82"/>
  <c r="S35" i="82" s="1"/>
  <c r="Z34" i="82"/>
  <c r="Q34" i="82"/>
  <c r="J34" i="82"/>
  <c r="W34" i="82" s="1"/>
  <c r="H34" i="82"/>
  <c r="AB34" i="82" s="1"/>
  <c r="F34" i="82"/>
  <c r="S34" i="82" s="1"/>
  <c r="AB33" i="82"/>
  <c r="Q33" i="82"/>
  <c r="Z33" i="82" s="1"/>
  <c r="J33" i="82"/>
  <c r="W33" i="82" s="1"/>
  <c r="U33" i="82"/>
  <c r="F33" i="82"/>
  <c r="AA33" i="82" s="1"/>
  <c r="AC32" i="82"/>
  <c r="Q32" i="82"/>
  <c r="Z32" i="82" s="1"/>
  <c r="J32" i="82"/>
  <c r="W32" i="82" s="1"/>
  <c r="H32" i="82"/>
  <c r="AB32" i="82" s="1"/>
  <c r="F32" i="82"/>
  <c r="S32" i="82" s="1"/>
  <c r="AA31" i="82"/>
  <c r="Z31" i="82"/>
  <c r="Q31" i="82"/>
  <c r="J31" i="82"/>
  <c r="AC31" i="82" s="1"/>
  <c r="H31" i="82"/>
  <c r="U31" i="82" s="1"/>
  <c r="F31" i="82"/>
  <c r="S31" i="82" s="1"/>
  <c r="AA30" i="82"/>
  <c r="Q30" i="82"/>
  <c r="Z30" i="82" s="1"/>
  <c r="J30" i="82"/>
  <c r="W30" i="82" s="1"/>
  <c r="H30" i="82"/>
  <c r="AB30" i="82" s="1"/>
  <c r="F30" i="82"/>
  <c r="S30" i="82" s="1"/>
  <c r="AC29" i="82"/>
  <c r="AB29" i="82"/>
  <c r="W29" i="82"/>
  <c r="U29" i="82"/>
  <c r="Q29" i="82"/>
  <c r="Z29" i="82" s="1"/>
  <c r="J29" i="82"/>
  <c r="H29" i="82"/>
  <c r="F29" i="82"/>
  <c r="AA29" i="82" s="1"/>
  <c r="Q28" i="82"/>
  <c r="Z28" i="82" s="1"/>
  <c r="J28" i="82"/>
  <c r="AC28" i="82" s="1"/>
  <c r="H28" i="82"/>
  <c r="U28" i="82" s="1"/>
  <c r="F28" i="82"/>
  <c r="S28" i="82" s="1"/>
  <c r="Q27" i="82"/>
  <c r="Z27" i="82" s="1"/>
  <c r="J27" i="82"/>
  <c r="AC27" i="82" s="1"/>
  <c r="F27" i="82"/>
  <c r="H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U23" i="82" s="1"/>
  <c r="F23" i="82"/>
  <c r="AA23" i="82" s="1"/>
  <c r="C23" i="82"/>
  <c r="Q21" i="82"/>
  <c r="Z21" i="82" s="1"/>
  <c r="J21" i="82"/>
  <c r="AC21" i="82" s="1"/>
  <c r="H21" i="82"/>
  <c r="AB21" i="82" s="1"/>
  <c r="F21" i="82"/>
  <c r="AA21" i="82" s="1"/>
  <c r="C21" i="82"/>
  <c r="Q19" i="82"/>
  <c r="Z19" i="82" s="1"/>
  <c r="C19" i="82"/>
  <c r="Q17" i="82"/>
  <c r="Z17" i="82" s="1"/>
  <c r="J17" i="82"/>
  <c r="AC17" i="82" s="1"/>
  <c r="C17" i="82"/>
  <c r="E17" i="82" s="1"/>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J8" i="82"/>
  <c r="H8" i="82"/>
  <c r="AB8" i="82" s="1"/>
  <c r="F8" i="82"/>
  <c r="S8" i="82" s="1"/>
  <c r="I7" i="82"/>
  <c r="J7" i="82" s="1"/>
  <c r="E7" i="82"/>
  <c r="G7" i="82" s="1"/>
  <c r="C7" i="82"/>
  <c r="C58" i="82" s="1"/>
  <c r="D58" i="82" s="1"/>
  <c r="E58" i="82" s="1"/>
  <c r="F58" i="82" s="1"/>
  <c r="G58" i="82" s="1"/>
  <c r="H58" i="82" s="1"/>
  <c r="I58" i="82" s="1"/>
  <c r="J58" i="82" s="1"/>
  <c r="K58" i="82" s="1"/>
  <c r="L58" i="82" s="1"/>
  <c r="M58" i="82" s="1"/>
  <c r="N58" i="82" s="1"/>
  <c r="O58" i="82" s="1"/>
  <c r="P58" i="82" s="1"/>
  <c r="Q58" i="82" s="1"/>
  <c r="R58" i="82" s="1"/>
  <c r="S58" i="82" s="1"/>
  <c r="T58" i="82" s="1"/>
  <c r="U58" i="82" s="1"/>
  <c r="V58" i="82" s="1"/>
  <c r="W58" i="82" s="1"/>
  <c r="X58" i="82" s="1"/>
  <c r="Y58" i="82" s="1"/>
  <c r="Z58" i="82" s="1"/>
  <c r="AA58" i="82" s="1"/>
  <c r="AB58" i="82" s="1"/>
  <c r="D3" i="82"/>
  <c r="O44" i="81"/>
  <c r="N44" i="81"/>
  <c r="O41" i="81"/>
  <c r="N42" i="81"/>
  <c r="N43" i="81"/>
  <c r="N41" i="81"/>
  <c r="D14" i="81"/>
  <c r="C14" i="81"/>
  <c r="B14" i="81"/>
  <c r="H27" i="21"/>
  <c r="H33" i="21"/>
  <c r="F104" i="21"/>
  <c r="G104" i="21" s="1"/>
  <c r="E51" i="21"/>
  <c r="G51" i="21"/>
  <c r="D127" i="21"/>
  <c r="I51" i="21"/>
  <c r="I7" i="21"/>
  <c r="G7" i="21"/>
  <c r="E7" i="21"/>
  <c r="M21" i="1"/>
  <c r="D2" i="82"/>
  <c r="F33" i="21" l="1"/>
  <c r="H104" i="21"/>
  <c r="I104" i="21" s="1"/>
  <c r="J104" i="21" s="1"/>
  <c r="J33" i="21"/>
  <c r="F19" i="82"/>
  <c r="AA19" i="82" s="1"/>
  <c r="J19" i="82"/>
  <c r="AC19" i="82" s="1"/>
  <c r="J37" i="21"/>
  <c r="D113" i="21"/>
  <c r="C113" i="21" s="1"/>
  <c r="F17" i="82"/>
  <c r="AA17" i="82" s="1"/>
  <c r="H17" i="82"/>
  <c r="AB17" i="82" s="1"/>
  <c r="H19" i="82"/>
  <c r="AB19" i="82" s="1"/>
  <c r="H44" i="82"/>
  <c r="AB44" i="82" s="1"/>
  <c r="AC7" i="82"/>
  <c r="W7" i="82"/>
  <c r="H7" i="82"/>
  <c r="AB27" i="82"/>
  <c r="U27" i="82"/>
  <c r="U15" i="82"/>
  <c r="U21" i="82"/>
  <c r="AB23" i="82"/>
  <c r="U32" i="82"/>
  <c r="U8" i="82"/>
  <c r="F7" i="82"/>
  <c r="S9" i="82"/>
  <c r="W11" i="82"/>
  <c r="S13" i="82"/>
  <c r="U14" i="82"/>
  <c r="W25" i="82"/>
  <c r="S27" i="82"/>
  <c r="AA27" i="82"/>
  <c r="AA8" i="82"/>
  <c r="U9" i="82"/>
  <c r="W10" i="82"/>
  <c r="S12" i="82"/>
  <c r="U13" i="82"/>
  <c r="W14" i="82"/>
  <c r="W15" i="82"/>
  <c r="W17" i="82"/>
  <c r="W19" i="82"/>
  <c r="W21" i="82"/>
  <c r="W23" i="82"/>
  <c r="S26" i="82"/>
  <c r="AA28" i="82"/>
  <c r="AC30" i="82"/>
  <c r="AC33" i="82"/>
  <c r="AA34" i="82"/>
  <c r="AA35" i="82"/>
  <c r="S39" i="82"/>
  <c r="U40" i="82"/>
  <c r="X59" i="82"/>
  <c r="Y59" i="82" s="1"/>
  <c r="W59" i="82"/>
  <c r="G123" i="82"/>
  <c r="H123" i="82" s="1"/>
  <c r="I123" i="82" s="1"/>
  <c r="J123" i="82" s="1"/>
  <c r="K123" i="82" s="1"/>
  <c r="L123" i="82" s="1"/>
  <c r="M123" i="82" s="1"/>
  <c r="J42" i="82"/>
  <c r="H42" i="82"/>
  <c r="F42" i="82"/>
  <c r="U10" i="82"/>
  <c r="U17" i="82"/>
  <c r="W28" i="82"/>
  <c r="W9" i="82"/>
  <c r="S11" i="82"/>
  <c r="U12" i="82"/>
  <c r="W13" i="82"/>
  <c r="S25" i="82"/>
  <c r="U26" i="82"/>
  <c r="W27" i="82"/>
  <c r="AB28" i="82"/>
  <c r="AB31" i="82"/>
  <c r="AA32" i="82"/>
  <c r="AC34" i="82"/>
  <c r="U36" i="82"/>
  <c r="S10" i="82"/>
  <c r="U11" i="82"/>
  <c r="W12" i="82"/>
  <c r="S14" i="82"/>
  <c r="S15" i="82"/>
  <c r="S21" i="82"/>
  <c r="S23" i="82"/>
  <c r="U25" i="82"/>
  <c r="W26" i="82"/>
  <c r="F119" i="82"/>
  <c r="G119" i="82" s="1"/>
  <c r="H119" i="82" s="1"/>
  <c r="I119" i="82" s="1"/>
  <c r="J119" i="82" s="1"/>
  <c r="K119" i="82" s="1"/>
  <c r="L119" i="82" s="1"/>
  <c r="M119" i="82" s="1"/>
  <c r="F40" i="82"/>
  <c r="J40" i="82"/>
  <c r="U35" i="82"/>
  <c r="W36" i="82"/>
  <c r="S38" i="82"/>
  <c r="U39" i="82"/>
  <c r="U43" i="82"/>
  <c r="W44" i="82"/>
  <c r="S46" i="82"/>
  <c r="S29" i="82"/>
  <c r="U30" i="82"/>
  <c r="W31" i="82"/>
  <c r="S33" i="82"/>
  <c r="U34" i="82"/>
  <c r="W35" i="82"/>
  <c r="U38" i="82"/>
  <c r="W39" i="82"/>
  <c r="S41" i="82"/>
  <c r="W43" i="82"/>
  <c r="U46" i="82"/>
  <c r="E129" i="82"/>
  <c r="D129" i="82" s="1"/>
  <c r="C129" i="82" s="1"/>
  <c r="K144" i="82"/>
  <c r="S36" i="82"/>
  <c r="W38" i="82"/>
  <c r="U41" i="82"/>
  <c r="S44" i="82"/>
  <c r="W46" i="82"/>
  <c r="K141" i="82"/>
  <c r="D104" i="21"/>
  <c r="C104" i="21" s="1"/>
  <c r="I128" i="21"/>
  <c r="E129" i="21" s="1"/>
  <c r="D129" i="21" s="1"/>
  <c r="C129" i="21" s="1"/>
  <c r="F27" i="21"/>
  <c r="D91" i="21"/>
  <c r="C91" i="21" s="1"/>
  <c r="D59" i="21"/>
  <c r="E59" i="21" s="1"/>
  <c r="F59" i="21" s="1"/>
  <c r="G59" i="21" s="1"/>
  <c r="H59" i="21" s="1"/>
  <c r="I59" i="21" s="1"/>
  <c r="J59" i="21" s="1"/>
  <c r="K59" i="21" s="1"/>
  <c r="L59" i="21" s="1"/>
  <c r="M59" i="21" s="1"/>
  <c r="N59" i="21" s="1"/>
  <c r="O59" i="21" s="1"/>
  <c r="P59" i="21" s="1"/>
  <c r="Q59" i="21" s="1"/>
  <c r="R59" i="21" s="1"/>
  <c r="S59" i="21" s="1"/>
  <c r="B27" i="9"/>
  <c r="S19" i="82" l="1"/>
  <c r="S17" i="82"/>
  <c r="U19" i="82"/>
  <c r="U44" i="82"/>
  <c r="H45" i="82"/>
  <c r="F45" i="82"/>
  <c r="J45" i="82"/>
  <c r="AA40" i="82"/>
  <c r="S40" i="82"/>
  <c r="AA59" i="82"/>
  <c r="AB59" i="82" s="1"/>
  <c r="Z59" i="82"/>
  <c r="AC42" i="82"/>
  <c r="W42" i="82"/>
  <c r="U7" i="82"/>
  <c r="AB7" i="82"/>
  <c r="AC40" i="82"/>
  <c r="W40" i="82"/>
  <c r="AB42" i="82"/>
  <c r="U42" i="82"/>
  <c r="S7" i="82"/>
  <c r="AA7" i="82"/>
  <c r="AA37" i="82"/>
  <c r="S37" i="82"/>
  <c r="AA42" i="82"/>
  <c r="S42" i="82"/>
  <c r="E127" i="21"/>
  <c r="F91" i="21"/>
  <c r="AC37" i="82" l="1"/>
  <c r="W37" i="82"/>
  <c r="AC45" i="82"/>
  <c r="W45" i="82"/>
  <c r="AB37" i="82"/>
  <c r="U37" i="82"/>
  <c r="AA45" i="82"/>
  <c r="R48" i="82" s="1"/>
  <c r="S45" i="82"/>
  <c r="AB45" i="82"/>
  <c r="U45" i="82"/>
  <c r="J27" i="21"/>
  <c r="T48" i="82" l="1"/>
  <c r="V48" i="82"/>
  <c r="I48" i="82" s="1"/>
  <c r="I52" i="82" s="1"/>
  <c r="J52" i="82" s="1"/>
  <c r="E48" i="82"/>
  <c r="B21" i="1"/>
  <c r="R49" i="82" l="1"/>
  <c r="C48" i="82" s="1"/>
  <c r="I53" i="82"/>
  <c r="J53" i="82" s="1"/>
  <c r="G48" i="82"/>
  <c r="E52" i="82"/>
  <c r="F52" i="82" s="1"/>
  <c r="J12" i="67"/>
  <c r="C49" i="82" l="1"/>
  <c r="B3" i="82" s="1"/>
  <c r="G53" i="82"/>
  <c r="H53" i="82" s="1"/>
  <c r="G52" i="82"/>
  <c r="H52" i="82" s="1"/>
  <c r="E53" i="82"/>
  <c r="F53" i="82" s="1"/>
  <c r="B2" i="82"/>
  <c r="M20" i="1"/>
  <c r="N22" i="1" s="1"/>
  <c r="D3" i="4"/>
  <c r="Y20" i="1"/>
  <c r="U6" i="1" l="1"/>
  <c r="C50" i="82"/>
  <c r="G129" i="21"/>
  <c r="H45" i="21" l="1"/>
  <c r="J45" i="21"/>
  <c r="F45" i="21"/>
  <c r="D66" i="21" l="1"/>
  <c r="B65" i="21"/>
  <c r="G16" i="73" l="1"/>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J13" i="33" s="1"/>
  <c r="AC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H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H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T47" i="21"/>
  <c r="Q46" i="21"/>
  <c r="Z46" i="21" s="1"/>
  <c r="Q45" i="21"/>
  <c r="Z45" i="21" s="1"/>
  <c r="Q44" i="21"/>
  <c r="Z44" i="21" s="1"/>
  <c r="Q43" i="21"/>
  <c r="Z43" i="21" s="1"/>
  <c r="Q42" i="21"/>
  <c r="Z42" i="21" s="1"/>
  <c r="Q41" i="21"/>
  <c r="Z41" i="21" s="1"/>
  <c r="J41" i="21"/>
  <c r="AC41" i="21" s="1"/>
  <c r="H41" i="21"/>
  <c r="AB41" i="21" s="1"/>
  <c r="F41" i="21"/>
  <c r="AA41" i="21" s="1"/>
  <c r="Q40" i="21"/>
  <c r="Z40" i="21" s="1"/>
  <c r="H40" i="21"/>
  <c r="AB40" i="21" s="1"/>
  <c r="Q39" i="21"/>
  <c r="Z39" i="21" s="1"/>
  <c r="J39" i="21"/>
  <c r="AC39" i="21" s="1"/>
  <c r="H39" i="21"/>
  <c r="AB39" i="21" s="1"/>
  <c r="F39" i="21"/>
  <c r="AA39" i="21" s="1"/>
  <c r="Q38" i="21"/>
  <c r="Z38" i="21" s="1"/>
  <c r="J38" i="21"/>
  <c r="AC38" i="21" s="1"/>
  <c r="H38" i="21"/>
  <c r="AB38" i="21" s="1"/>
  <c r="F38" i="21"/>
  <c r="AA38" i="21" s="1"/>
  <c r="Q37" i="21"/>
  <c r="Z37" i="21" s="1"/>
  <c r="Q36" i="21"/>
  <c r="Z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C19" i="21"/>
  <c r="Q17" i="21"/>
  <c r="Z17" i="21" s="1"/>
  <c r="H17" i="21"/>
  <c r="AB17" i="21" s="1"/>
  <c r="C17" i="21"/>
  <c r="E17" i="21" s="1"/>
  <c r="Q15" i="21"/>
  <c r="Z15" i="21" s="1"/>
  <c r="H15" i="21"/>
  <c r="AB15" i="21" s="1"/>
  <c r="C15" i="21"/>
  <c r="Q14" i="21"/>
  <c r="Z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F7" i="68"/>
  <c r="C7" i="68" s="1"/>
  <c r="A120" i="9"/>
  <c r="E111" i="9"/>
  <c r="A126" i="9"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F38" i="67"/>
  <c r="F20" i="31"/>
  <c r="B8" i="76"/>
  <c r="AO7" i="1"/>
  <c r="M6" i="67"/>
  <c r="D2" i="33"/>
  <c r="C76" i="67"/>
  <c r="L47" i="67"/>
  <c r="E10" i="76"/>
  <c r="M26" i="67"/>
  <c r="AO8" i="1"/>
  <c r="E9" i="76"/>
  <c r="E12" i="76"/>
  <c r="B9" i="76"/>
  <c r="F9" i="67"/>
  <c r="E2" i="68"/>
  <c r="F42" i="67"/>
  <c r="J15" i="67"/>
  <c r="B13" i="76"/>
  <c r="AO12" i="1"/>
  <c r="AO9" i="1"/>
  <c r="F16" i="67"/>
  <c r="E13" i="76"/>
  <c r="B7" i="76"/>
  <c r="AO11" i="1"/>
  <c r="AO10" i="1"/>
  <c r="D2" i="35"/>
  <c r="E2" i="69"/>
  <c r="D35" i="9"/>
  <c r="B12" i="76"/>
  <c r="D2" i="36"/>
  <c r="B11" i="76"/>
  <c r="AO13" i="1"/>
  <c r="D2" i="34"/>
  <c r="E11" i="76"/>
  <c r="E8" i="76"/>
  <c r="E7" i="76"/>
  <c r="D2" i="21"/>
  <c r="M27" i="67"/>
  <c r="B10" i="76"/>
  <c r="D2" i="37"/>
  <c r="D34" i="9"/>
  <c r="J40" i="21" l="1"/>
  <c r="AC40" i="21" s="1"/>
  <c r="G523" i="3"/>
  <c r="H109" i="9"/>
  <c r="D16" i="53" s="1"/>
  <c r="D17" i="53" s="1"/>
  <c r="B36" i="72" s="1"/>
  <c r="F40" i="21"/>
  <c r="AA40" i="21" s="1"/>
  <c r="F36" i="21"/>
  <c r="AA36" i="21" s="1"/>
  <c r="F14" i="21"/>
  <c r="AA14" i="21" s="1"/>
  <c r="G55" i="3"/>
  <c r="G71" i="3"/>
  <c r="G75" i="3"/>
  <c r="G79" i="3"/>
  <c r="G87" i="3"/>
  <c r="G95" i="3"/>
  <c r="G103" i="3"/>
  <c r="G115" i="3"/>
  <c r="G135" i="3"/>
  <c r="G139" i="3"/>
  <c r="G143" i="3"/>
  <c r="BA173" i="3"/>
  <c r="G203" i="3"/>
  <c r="G219" i="3"/>
  <c r="G507" i="3"/>
  <c r="G511" i="3"/>
  <c r="G515" i="3"/>
  <c r="G519" i="3"/>
  <c r="BA583" i="3"/>
  <c r="J36" i="21"/>
  <c r="AC36" i="21" s="1"/>
  <c r="C67" i="71"/>
  <c r="D68" i="71"/>
  <c r="S12" i="79"/>
  <c r="G217" i="3"/>
  <c r="A24" i="51"/>
  <c r="B18" i="72" s="1"/>
  <c r="H19" i="21"/>
  <c r="AB19" i="21" s="1"/>
  <c r="H36" i="21"/>
  <c r="AB36" i="21" s="1"/>
  <c r="H13" i="34"/>
  <c r="AB13" i="34" s="1"/>
  <c r="F27" i="71"/>
  <c r="Y35" i="71"/>
  <c r="Z35" i="71" s="1"/>
  <c r="Y36" i="71"/>
  <c r="Z36" i="71" s="1"/>
  <c r="J32" i="21"/>
  <c r="AC32" i="21" s="1"/>
  <c r="BL20" i="3"/>
  <c r="BL36" i="3"/>
  <c r="BA41" i="3"/>
  <c r="G49" i="3"/>
  <c r="BA49" i="3"/>
  <c r="G53" i="3"/>
  <c r="BA53" i="3"/>
  <c r="BL56" i="3"/>
  <c r="BA111" i="3"/>
  <c r="G185" i="3"/>
  <c r="G193" i="3"/>
  <c r="G201" i="3"/>
  <c r="G389" i="3"/>
  <c r="G393" i="3"/>
  <c r="G401" i="3"/>
  <c r="G458" i="3"/>
  <c r="G474" i="3"/>
  <c r="G490" i="3"/>
  <c r="G527" i="3"/>
  <c r="G531" i="3"/>
  <c r="G535" i="3"/>
  <c r="G559" i="3"/>
  <c r="G571" i="3"/>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AC46" i="34" s="1"/>
  <c r="D74" i="43"/>
  <c r="AA3" i="71"/>
  <c r="G539" i="3"/>
  <c r="BA547" i="3"/>
  <c r="S12" i="40"/>
  <c r="B47" i="71"/>
  <c r="B48" i="71" s="1"/>
  <c r="S48" i="71" s="1"/>
  <c r="H13" i="21"/>
  <c r="F13" i="21"/>
  <c r="F29" i="21"/>
  <c r="AA29" i="21" s="1"/>
  <c r="AB29" i="21"/>
  <c r="AB43" i="33"/>
  <c r="U43" i="33"/>
  <c r="H30" i="33"/>
  <c r="AB30" i="33" s="1"/>
  <c r="F30" i="33"/>
  <c r="AA30" i="33" s="1"/>
  <c r="H11" i="35"/>
  <c r="J11" i="35"/>
  <c r="AC11" i="35" s="1"/>
  <c r="AC8" i="36"/>
  <c r="W8" i="36"/>
  <c r="BA32" i="3"/>
  <c r="BL34" i="3"/>
  <c r="G113" i="3"/>
  <c r="BA127" i="3"/>
  <c r="BA151" i="3"/>
  <c r="BA155" i="3"/>
  <c r="BA159" i="3"/>
  <c r="BA161" i="3"/>
  <c r="BL212" i="3"/>
  <c r="BL216" i="3"/>
  <c r="BL238" i="3"/>
  <c r="BL251" i="3"/>
  <c r="G253" i="3"/>
  <c r="BA254" i="3"/>
  <c r="BL258" i="3"/>
  <c r="BL260" i="3"/>
  <c r="G579" i="3"/>
  <c r="BA584" i="3"/>
  <c r="F31" i="34"/>
  <c r="AA31" i="34" s="1"/>
  <c r="J31" i="34"/>
  <c r="AC31" i="34" s="1"/>
  <c r="H31" i="34"/>
  <c r="AB31" i="34" s="1"/>
  <c r="AB29" i="37"/>
  <c r="U29" i="37"/>
  <c r="H14" i="40"/>
  <c r="AB14" i="40" s="1"/>
  <c r="F14" i="40"/>
  <c r="S14" i="40" s="1"/>
  <c r="BL30" i="3"/>
  <c r="G117" i="3"/>
  <c r="BL16" i="3"/>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s="1"/>
  <c r="S14" i="79"/>
  <c r="AB27" i="71"/>
  <c r="Z3" i="79"/>
  <c r="AB11" i="71"/>
  <c r="AB3" i="79"/>
  <c r="U9" i="79"/>
  <c r="R10" i="79"/>
  <c r="V10" i="79"/>
  <c r="S23" i="79"/>
  <c r="AA23" i="79"/>
  <c r="AD23" i="79" s="1"/>
  <c r="X16" i="71"/>
  <c r="X17" i="71"/>
  <c r="X18" i="71"/>
  <c r="AB24" i="71"/>
  <c r="C79" i="71"/>
  <c r="D79" i="71" s="1"/>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AZ32" i="3" s="1"/>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AZ222" i="3" s="1"/>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AZ266" i="3" s="1"/>
  <c r="BL283" i="3"/>
  <c r="G284" i="3"/>
  <c r="G285" i="3"/>
  <c r="BA286" i="3"/>
  <c r="AZ286" i="3" s="1"/>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BA463" i="3"/>
  <c r="BL465" i="3"/>
  <c r="G466" i="3"/>
  <c r="G471" i="3"/>
  <c r="BA472" i="3"/>
  <c r="BA479" i="3"/>
  <c r="BL481" i="3"/>
  <c r="G482" i="3"/>
  <c r="G487" i="3"/>
  <c r="BA488" i="3"/>
  <c r="AZ488" i="3" s="1"/>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F28" i="6" s="1"/>
  <c r="G16" i="3"/>
  <c r="G17" i="3"/>
  <c r="BA18" i="3"/>
  <c r="BA19" i="3"/>
  <c r="BL23" i="3"/>
  <c r="G24" i="3"/>
  <c r="G25" i="3"/>
  <c r="BA26" i="3"/>
  <c r="AZ26" i="3" s="1"/>
  <c r="BA27" i="3"/>
  <c r="BL31" i="3"/>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BA279" i="3"/>
  <c r="BL284" i="3"/>
  <c r="G287" i="3"/>
  <c r="BL294" i="3"/>
  <c r="G295" i="3"/>
  <c r="BA298" i="3"/>
  <c r="AZ298" i="3" s="1"/>
  <c r="BA299" i="3"/>
  <c r="BL303" i="3"/>
  <c r="G304" i="3"/>
  <c r="BA306" i="3"/>
  <c r="BL308" i="3"/>
  <c r="BA313" i="3"/>
  <c r="BL315" i="3"/>
  <c r="G316" i="3"/>
  <c r="BL320" i="3"/>
  <c r="BA330" i="3"/>
  <c r="BL338" i="3"/>
  <c r="G339" i="3"/>
  <c r="AZ40" i="3"/>
  <c r="G157" i="3"/>
  <c r="BL167" i="3"/>
  <c r="BL176" i="3"/>
  <c r="BL179" i="3"/>
  <c r="G181" i="3"/>
  <c r="BA182" i="3"/>
  <c r="BA183" i="3"/>
  <c r="BL190" i="3"/>
  <c r="BA191" i="3"/>
  <c r="BA202" i="3"/>
  <c r="AZ202" i="3" s="1"/>
  <c r="BA203" i="3"/>
  <c r="AZ203" i="3" s="1"/>
  <c r="AZ234" i="3"/>
  <c r="AZ472" i="3"/>
  <c r="AC5" i="3"/>
  <c r="BE5" i="3"/>
  <c r="BI5" i="3"/>
  <c r="BF5" i="3"/>
  <c r="BJ5" i="3"/>
  <c r="BA15" i="3"/>
  <c r="BL19" i="3"/>
  <c r="G20" i="3"/>
  <c r="G21" i="3"/>
  <c r="BA22" i="3"/>
  <c r="AZ22" i="3" s="1"/>
  <c r="BA23" i="3"/>
  <c r="BL27" i="3"/>
  <c r="G28" i="3"/>
  <c r="G29" i="3"/>
  <c r="BA30" i="3"/>
  <c r="BA31" i="3"/>
  <c r="BL35" i="3"/>
  <c r="G36" i="3"/>
  <c r="G37" i="3"/>
  <c r="BA38" i="3"/>
  <c r="AZ38" i="3" s="1"/>
  <c r="BA39" i="3"/>
  <c r="AZ39" i="3" s="1"/>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BA211" i="3"/>
  <c r="AZ211" i="3" s="1"/>
  <c r="BL215" i="3"/>
  <c r="G216" i="3"/>
  <c r="BL224" i="3"/>
  <c r="BL227" i="3"/>
  <c r="G229" i="3"/>
  <c r="BA230" i="3"/>
  <c r="AZ230" i="3" s="1"/>
  <c r="BA231" i="3"/>
  <c r="AZ231" i="3" s="1"/>
  <c r="BL236" i="3"/>
  <c r="BA242" i="3"/>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AZ21" i="3" s="1"/>
  <c r="BL25" i="3"/>
  <c r="G26" i="3"/>
  <c r="G27" i="3"/>
  <c r="BA28" i="3"/>
  <c r="AZ28" i="3" s="1"/>
  <c r="BA29" i="3"/>
  <c r="BL33" i="3"/>
  <c r="AZ33" i="3" s="1"/>
  <c r="G34" i="3"/>
  <c r="G35" i="3"/>
  <c r="BA37" i="3"/>
  <c r="BL41" i="3"/>
  <c r="AZ41" i="3" s="1"/>
  <c r="G42" i="3"/>
  <c r="G43" i="3"/>
  <c r="BA44" i="3"/>
  <c r="AZ44" i="3" s="1"/>
  <c r="BA45" i="3"/>
  <c r="AZ45" i="3" s="1"/>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AZ585" i="3" s="1"/>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AB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BA442" i="3"/>
  <c r="AZ442" i="3" s="1"/>
  <c r="BA443" i="3"/>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BA335" i="3"/>
  <c r="AZ335" i="3" s="1"/>
  <c r="BL340" i="3"/>
  <c r="BA346" i="3"/>
  <c r="BA347" i="3"/>
  <c r="BL351" i="3"/>
  <c r="AZ351" i="3" s="1"/>
  <c r="BA358" i="3"/>
  <c r="BA359" i="3"/>
  <c r="AZ359" i="3" s="1"/>
  <c r="BL364" i="3"/>
  <c r="BL367" i="3"/>
  <c r="BA374" i="3"/>
  <c r="AZ374" i="3" s="1"/>
  <c r="BA375" i="3"/>
  <c r="BL380" i="3"/>
  <c r="BL383" i="3"/>
  <c r="AZ383" i="3" s="1"/>
  <c r="BA390" i="3"/>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BA496" i="3"/>
  <c r="BA497" i="3"/>
  <c r="BL502" i="3"/>
  <c r="BL505" i="3"/>
  <c r="BA512" i="3"/>
  <c r="AZ512" i="3" s="1"/>
  <c r="BA513" i="3"/>
  <c r="BL518" i="3"/>
  <c r="BL521" i="3"/>
  <c r="BA528" i="3"/>
  <c r="BA529" i="3"/>
  <c r="BL534" i="3"/>
  <c r="BL537" i="3"/>
  <c r="BA544" i="3"/>
  <c r="BA545" i="3"/>
  <c r="BL550" i="3"/>
  <c r="BL553" i="3"/>
  <c r="BA556" i="3"/>
  <c r="BL558" i="3"/>
  <c r="BL561" i="3"/>
  <c r="H34" i="35"/>
  <c r="AB34" i="35" s="1"/>
  <c r="F34" i="35"/>
  <c r="AA34" i="35" s="1"/>
  <c r="J33" i="36"/>
  <c r="AC33" i="36" s="1"/>
  <c r="BA290" i="3"/>
  <c r="BA291" i="3"/>
  <c r="BL295" i="3"/>
  <c r="G296" i="3"/>
  <c r="G299" i="3"/>
  <c r="BL304" i="3"/>
  <c r="BL307" i="3"/>
  <c r="G308" i="3"/>
  <c r="G309" i="3"/>
  <c r="BA310" i="3"/>
  <c r="AZ310" i="3" s="1"/>
  <c r="BA311" i="3"/>
  <c r="BL316" i="3"/>
  <c r="G319" i="3"/>
  <c r="BA322" i="3"/>
  <c r="AZ322" i="3" s="1"/>
  <c r="BA323" i="3"/>
  <c r="BL327" i="3"/>
  <c r="G328" i="3"/>
  <c r="G331" i="3"/>
  <c r="BL336" i="3"/>
  <c r="BL339" i="3"/>
  <c r="G340" i="3"/>
  <c r="G341" i="3"/>
  <c r="BA342" i="3"/>
  <c r="BA343" i="3"/>
  <c r="BL348" i="3"/>
  <c r="G351" i="3"/>
  <c r="BA354" i="3"/>
  <c r="AZ354" i="3" s="1"/>
  <c r="BA355" i="3"/>
  <c r="BL360" i="3"/>
  <c r="BL363" i="3"/>
  <c r="G364" i="3"/>
  <c r="G367" i="3"/>
  <c r="BA370" i="3"/>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AZ53" i="3" s="1"/>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G68" i="3"/>
  <c r="BA68" i="3"/>
  <c r="AZ68" i="3" s="1"/>
  <c r="BL69" i="3"/>
  <c r="G70" i="3"/>
  <c r="BA70" i="3"/>
  <c r="AZ70" i="3" s="1"/>
  <c r="BL71" i="3"/>
  <c r="G72" i="3"/>
  <c r="BA72" i="3"/>
  <c r="AZ72" i="3" s="1"/>
  <c r="BL73" i="3"/>
  <c r="G74" i="3"/>
  <c r="BA74" i="3"/>
  <c r="AZ74" i="3" s="1"/>
  <c r="BL75" i="3"/>
  <c r="G76" i="3"/>
  <c r="BA76" i="3"/>
  <c r="BL77" i="3"/>
  <c r="G78" i="3"/>
  <c r="BA78" i="3"/>
  <c r="BL79" i="3"/>
  <c r="G80" i="3"/>
  <c r="BA80" i="3"/>
  <c r="AZ80" i="3" s="1"/>
  <c r="BL81" i="3"/>
  <c r="G82" i="3"/>
  <c r="BA82" i="3"/>
  <c r="AZ82" i="3" s="1"/>
  <c r="BL83" i="3"/>
  <c r="G84" i="3"/>
  <c r="BA84" i="3"/>
  <c r="BL85" i="3"/>
  <c r="G86" i="3"/>
  <c r="BA86" i="3"/>
  <c r="AZ86" i="3" s="1"/>
  <c r="BL87" i="3"/>
  <c r="G88" i="3"/>
  <c r="BA88" i="3"/>
  <c r="AZ88" i="3" s="1"/>
  <c r="BL89" i="3"/>
  <c r="G90" i="3"/>
  <c r="BA90" i="3"/>
  <c r="AZ90" i="3" s="1"/>
  <c r="BL91" i="3"/>
  <c r="AZ91" i="3" s="1"/>
  <c r="G92" i="3"/>
  <c r="BA92" i="3"/>
  <c r="BL93" i="3"/>
  <c r="AZ93" i="3" s="1"/>
  <c r="G94" i="3"/>
  <c r="BA94" i="3"/>
  <c r="BL95" i="3"/>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BL109" i="3"/>
  <c r="G110" i="3"/>
  <c r="BA110" i="3"/>
  <c r="BL111" i="3"/>
  <c r="G112" i="3"/>
  <c r="BA112" i="3"/>
  <c r="AZ112" i="3" s="1"/>
  <c r="BL113" i="3"/>
  <c r="G114" i="3"/>
  <c r="BA114" i="3"/>
  <c r="AZ114" i="3" s="1"/>
  <c r="BL115" i="3"/>
  <c r="AZ115" i="3" s="1"/>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BL141" i="3"/>
  <c r="G142" i="3"/>
  <c r="BA142" i="3"/>
  <c r="BL143" i="3"/>
  <c r="G144" i="3"/>
  <c r="BA144" i="3"/>
  <c r="AZ144" i="3" s="1"/>
  <c r="BL145" i="3"/>
  <c r="G146" i="3"/>
  <c r="BA146" i="3"/>
  <c r="AZ146" i="3" s="1"/>
  <c r="BL147" i="3"/>
  <c r="AZ147" i="3" s="1"/>
  <c r="G148" i="3"/>
  <c r="BA148" i="3"/>
  <c r="BL149" i="3"/>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AZ163" i="3" s="1"/>
  <c r="G164" i="3"/>
  <c r="BA164" i="3"/>
  <c r="BL165" i="3"/>
  <c r="G166" i="3"/>
  <c r="BA168" i="3"/>
  <c r="AZ168" i="3" s="1"/>
  <c r="BL169" i="3"/>
  <c r="G170" i="3"/>
  <c r="BA172" i="3"/>
  <c r="AZ172" i="3" s="1"/>
  <c r="BL173" i="3"/>
  <c r="G174" i="3"/>
  <c r="BA176" i="3"/>
  <c r="AZ176" i="3" s="1"/>
  <c r="BL177" i="3"/>
  <c r="AZ177" i="3" s="1"/>
  <c r="G178" i="3"/>
  <c r="BA180" i="3"/>
  <c r="AZ180" i="3" s="1"/>
  <c r="BL181" i="3"/>
  <c r="G182" i="3"/>
  <c r="BA184" i="3"/>
  <c r="BL185" i="3"/>
  <c r="G186" i="3"/>
  <c r="BA188" i="3"/>
  <c r="AZ188" i="3" s="1"/>
  <c r="BL189" i="3"/>
  <c r="G190" i="3"/>
  <c r="BA192" i="3"/>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BL217" i="3"/>
  <c r="G218" i="3"/>
  <c r="BA220" i="3"/>
  <c r="AZ220" i="3" s="1"/>
  <c r="BL221" i="3"/>
  <c r="G222" i="3"/>
  <c r="BA224" i="3"/>
  <c r="AZ224" i="3" s="1"/>
  <c r="BL225" i="3"/>
  <c r="AZ225" i="3" s="1"/>
  <c r="G226" i="3"/>
  <c r="BA228" i="3"/>
  <c r="AZ228" i="3" s="1"/>
  <c r="BL229" i="3"/>
  <c r="G230" i="3"/>
  <c r="BA232" i="3"/>
  <c r="BL233" i="3"/>
  <c r="G234" i="3"/>
  <c r="BA236" i="3"/>
  <c r="BL237" i="3"/>
  <c r="G238" i="3"/>
  <c r="BA240" i="3"/>
  <c r="AZ240" i="3" s="1"/>
  <c r="BL241" i="3"/>
  <c r="G242" i="3"/>
  <c r="BA244" i="3"/>
  <c r="AZ244" i="3" s="1"/>
  <c r="BL245" i="3"/>
  <c r="G246" i="3"/>
  <c r="BA248" i="3"/>
  <c r="AZ248" i="3" s="1"/>
  <c r="BL249" i="3"/>
  <c r="G250" i="3"/>
  <c r="BA252" i="3"/>
  <c r="BL253" i="3"/>
  <c r="G254" i="3"/>
  <c r="BA256" i="3"/>
  <c r="BL257" i="3"/>
  <c r="G258" i="3"/>
  <c r="BA260" i="3"/>
  <c r="BL261" i="3"/>
  <c r="G262" i="3"/>
  <c r="BA264" i="3"/>
  <c r="AZ264" i="3" s="1"/>
  <c r="BL265" i="3"/>
  <c r="G266" i="3"/>
  <c r="BA268" i="3"/>
  <c r="AZ268" i="3" s="1"/>
  <c r="BL269" i="3"/>
  <c r="G270" i="3"/>
  <c r="BA272" i="3"/>
  <c r="AZ272" i="3" s="1"/>
  <c r="BL273" i="3"/>
  <c r="AZ273" i="3" s="1"/>
  <c r="G274" i="3"/>
  <c r="BA276" i="3"/>
  <c r="BL277" i="3"/>
  <c r="AZ277" i="3" s="1"/>
  <c r="G278" i="3"/>
  <c r="BA280" i="3"/>
  <c r="AZ280" i="3" s="1"/>
  <c r="BL281" i="3"/>
  <c r="G282" i="3"/>
  <c r="BA284" i="3"/>
  <c r="BL285" i="3"/>
  <c r="G286" i="3"/>
  <c r="BA288" i="3"/>
  <c r="AZ288" i="3" s="1"/>
  <c r="BL289" i="3"/>
  <c r="AZ289" i="3" s="1"/>
  <c r="G290" i="3"/>
  <c r="BA292" i="3"/>
  <c r="AZ292" i="3" s="1"/>
  <c r="BL293" i="3"/>
  <c r="AZ293" i="3" s="1"/>
  <c r="G294" i="3"/>
  <c r="BA296" i="3"/>
  <c r="AZ296" i="3" s="1"/>
  <c r="BL297" i="3"/>
  <c r="G298" i="3"/>
  <c r="BA300" i="3"/>
  <c r="AZ300" i="3" s="1"/>
  <c r="BL301" i="3"/>
  <c r="G302" i="3"/>
  <c r="BA304" i="3"/>
  <c r="AZ304" i="3" s="1"/>
  <c r="BL305" i="3"/>
  <c r="AZ305" i="3" s="1"/>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0" i="3"/>
  <c r="BL361" i="3"/>
  <c r="AZ361" i="3" s="1"/>
  <c r="G362" i="3"/>
  <c r="BA364" i="3"/>
  <c r="BL365" i="3"/>
  <c r="G366" i="3"/>
  <c r="BA368" i="3"/>
  <c r="AZ368" i="3" s="1"/>
  <c r="BL369" i="3"/>
  <c r="G370" i="3"/>
  <c r="BA372" i="3"/>
  <c r="AZ372" i="3" s="1"/>
  <c r="BL373" i="3"/>
  <c r="AZ373" i="3" s="1"/>
  <c r="G374" i="3"/>
  <c r="BA376" i="3"/>
  <c r="BL377" i="3"/>
  <c r="G378" i="3"/>
  <c r="BA380" i="3"/>
  <c r="AZ380" i="3" s="1"/>
  <c r="BL381" i="3"/>
  <c r="G382" i="3"/>
  <c r="BA384" i="3"/>
  <c r="AZ384" i="3" s="1"/>
  <c r="BL385" i="3"/>
  <c r="AZ385" i="3" s="1"/>
  <c r="G386" i="3"/>
  <c r="BA388" i="3"/>
  <c r="BL389" i="3"/>
  <c r="G390" i="3"/>
  <c r="BA392" i="3"/>
  <c r="BL393" i="3"/>
  <c r="AZ393" i="3" s="1"/>
  <c r="G394" i="3"/>
  <c r="BA396" i="3"/>
  <c r="AZ396" i="3" s="1"/>
  <c r="BL397" i="3"/>
  <c r="AZ397" i="3" s="1"/>
  <c r="G398" i="3"/>
  <c r="BA400" i="3"/>
  <c r="AZ400" i="3" s="1"/>
  <c r="BL401" i="3"/>
  <c r="G402" i="3"/>
  <c r="BA404" i="3"/>
  <c r="BL405" i="3"/>
  <c r="AZ405" i="3" s="1"/>
  <c r="G406" i="3"/>
  <c r="BA408" i="3"/>
  <c r="BL409" i="3"/>
  <c r="G410" i="3"/>
  <c r="BA412" i="3"/>
  <c r="AZ412" i="3" s="1"/>
  <c r="BL413" i="3"/>
  <c r="G414" i="3"/>
  <c r="BA416" i="3"/>
  <c r="AZ416" i="3" s="1"/>
  <c r="BL417" i="3"/>
  <c r="AZ417" i="3" s="1"/>
  <c r="G418" i="3"/>
  <c r="BA420" i="3"/>
  <c r="AZ420" i="3" s="1"/>
  <c r="BL421" i="3"/>
  <c r="G422" i="3"/>
  <c r="BA424" i="3"/>
  <c r="BL425" i="3"/>
  <c r="AZ425" i="3" s="1"/>
  <c r="G426" i="3"/>
  <c r="BA428" i="3"/>
  <c r="AZ428" i="3" s="1"/>
  <c r="BL429" i="3"/>
  <c r="G430" i="3"/>
  <c r="BA432" i="3"/>
  <c r="AZ432" i="3" s="1"/>
  <c r="BL433" i="3"/>
  <c r="G434" i="3"/>
  <c r="BA436" i="3"/>
  <c r="BL437" i="3"/>
  <c r="AZ437" i="3" s="1"/>
  <c r="G438" i="3"/>
  <c r="BA440" i="3"/>
  <c r="BL441" i="3"/>
  <c r="G442" i="3"/>
  <c r="BA444" i="3"/>
  <c r="AZ444" i="3" s="1"/>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G448" i="3"/>
  <c r="BA450" i="3"/>
  <c r="BL451" i="3"/>
  <c r="G452" i="3"/>
  <c r="BA454" i="3"/>
  <c r="BL455" i="3"/>
  <c r="G456" i="3"/>
  <c r="BA458" i="3"/>
  <c r="BL459" i="3"/>
  <c r="AZ459" i="3" s="1"/>
  <c r="G460" i="3"/>
  <c r="BA462" i="3"/>
  <c r="BL463" i="3"/>
  <c r="AZ463" i="3" s="1"/>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AZ491" i="3" s="1"/>
  <c r="G492" i="3"/>
  <c r="BA494" i="3"/>
  <c r="BL495" i="3"/>
  <c r="AZ495" i="3" s="1"/>
  <c r="G496" i="3"/>
  <c r="BA498" i="3"/>
  <c r="BL499" i="3"/>
  <c r="G500" i="3"/>
  <c r="BA502" i="3"/>
  <c r="BL503" i="3"/>
  <c r="AZ503" i="3" s="1"/>
  <c r="G504" i="3"/>
  <c r="BA506" i="3"/>
  <c r="AZ506" i="3" s="1"/>
  <c r="BL507" i="3"/>
  <c r="AZ507" i="3" s="1"/>
  <c r="G508" i="3"/>
  <c r="BA510" i="3"/>
  <c r="AZ510" i="3" s="1"/>
  <c r="BL511" i="3"/>
  <c r="G512" i="3"/>
  <c r="BA514" i="3"/>
  <c r="BL515" i="3"/>
  <c r="AZ515" i="3" s="1"/>
  <c r="G516" i="3"/>
  <c r="BA518" i="3"/>
  <c r="BL519" i="3"/>
  <c r="G520" i="3"/>
  <c r="BA522" i="3"/>
  <c r="BL523" i="3"/>
  <c r="AZ523" i="3" s="1"/>
  <c r="G524" i="3"/>
  <c r="BA526" i="3"/>
  <c r="BL527" i="3"/>
  <c r="G528" i="3"/>
  <c r="BA530" i="3"/>
  <c r="BL531" i="3"/>
  <c r="AZ531" i="3" s="1"/>
  <c r="G532" i="3"/>
  <c r="BA534" i="3"/>
  <c r="BL535" i="3"/>
  <c r="G536" i="3"/>
  <c r="BA538" i="3"/>
  <c r="AZ538" i="3" s="1"/>
  <c r="BL539" i="3"/>
  <c r="AZ539" i="3" s="1"/>
  <c r="G540" i="3"/>
  <c r="BA542" i="3"/>
  <c r="AZ542" i="3" s="1"/>
  <c r="BL543" i="3"/>
  <c r="G544" i="3"/>
  <c r="BA546" i="3"/>
  <c r="BL547" i="3"/>
  <c r="G548" i="3"/>
  <c r="BA550" i="3"/>
  <c r="BL551" i="3"/>
  <c r="G552" i="3"/>
  <c r="BA554" i="3"/>
  <c r="BL555" i="3"/>
  <c r="G556" i="3"/>
  <c r="BA558" i="3"/>
  <c r="BL559" i="3"/>
  <c r="G560" i="3"/>
  <c r="BA562" i="3"/>
  <c r="AZ562" i="3" s="1"/>
  <c r="BL563" i="3"/>
  <c r="G564" i="3"/>
  <c r="BA566" i="3"/>
  <c r="AZ566" i="3" s="1"/>
  <c r="BL567" i="3"/>
  <c r="AZ567" i="3" s="1"/>
  <c r="G568" i="3"/>
  <c r="BA570" i="3"/>
  <c r="AZ570" i="3" s="1"/>
  <c r="BL571" i="3"/>
  <c r="G572" i="3"/>
  <c r="BA574" i="3"/>
  <c r="AZ574" i="3" s="1"/>
  <c r="BL575" i="3"/>
  <c r="G576" i="3"/>
  <c r="BA578" i="3"/>
  <c r="AZ578" i="3" s="1"/>
  <c r="BL579" i="3"/>
  <c r="G580" i="3"/>
  <c r="BA582" i="3"/>
  <c r="BL583" i="3"/>
  <c r="AZ583" i="3" s="1"/>
  <c r="G584" i="3"/>
  <c r="BA586" i="3"/>
  <c r="AZ586" i="3" s="1"/>
  <c r="BL587" i="3"/>
  <c r="P27" i="6"/>
  <c r="K7" i="1"/>
  <c r="M7" i="1" s="1"/>
  <c r="B24" i="1"/>
  <c r="F34" i="11" s="1"/>
  <c r="D7" i="74"/>
  <c r="R14" i="77"/>
  <c r="R25" i="77" s="1"/>
  <c r="K145" i="21"/>
  <c r="U8" i="34"/>
  <c r="W27" i="34"/>
  <c r="AA42" i="34"/>
  <c r="H27" i="34"/>
  <c r="U27" i="34" s="1"/>
  <c r="F27" i="34"/>
  <c r="AB9" i="37"/>
  <c r="W30" i="37"/>
  <c r="W38" i="37"/>
  <c r="J40" i="37"/>
  <c r="W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s="1"/>
  <c r="A118" i="9"/>
  <c r="A2" i="9"/>
  <c r="M56" i="9"/>
  <c r="J56" i="9"/>
  <c r="J57" i="9" s="1"/>
  <c r="J59" i="9" s="1"/>
  <c r="J61" i="9" s="1"/>
  <c r="N56" i="9"/>
  <c r="K56" i="9"/>
  <c r="I4" i="6"/>
  <c r="AZ443" i="3"/>
  <c r="AZ471" i="3"/>
  <c r="AZ559" i="3"/>
  <c r="AR8" i="1"/>
  <c r="AQ8" i="1"/>
  <c r="T8" i="1"/>
  <c r="C18" i="9"/>
  <c r="D18" i="9" s="1"/>
  <c r="C94" i="9"/>
  <c r="C92" i="9"/>
  <c r="H89" i="21"/>
  <c r="I89" i="21" s="1"/>
  <c r="J89" i="21" s="1"/>
  <c r="K89" i="21" s="1"/>
  <c r="L89" i="21" s="1"/>
  <c r="M89" i="21" s="1"/>
  <c r="AR10" i="1"/>
  <c r="AQ10" i="1"/>
  <c r="T10" i="1"/>
  <c r="AB13" i="21"/>
  <c r="U13" i="21"/>
  <c r="F127" i="21"/>
  <c r="J44" i="21" s="1"/>
  <c r="H44" i="21"/>
  <c r="AC46" i="21"/>
  <c r="W46" i="21"/>
  <c r="W27" i="33"/>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P74" i="67"/>
  <c r="E23" i="77"/>
  <c r="D26" i="77"/>
  <c r="C29" i="77"/>
  <c r="R35" i="77"/>
  <c r="U34" i="77" s="1"/>
  <c r="U8" i="21"/>
  <c r="U9" i="21"/>
  <c r="S10" i="21"/>
  <c r="W10" i="21"/>
  <c r="U11"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D29" i="77"/>
  <c r="U10" i="21"/>
  <c r="S11" i="21"/>
  <c r="W11" i="21"/>
  <c r="U12" i="21"/>
  <c r="W13" i="21"/>
  <c r="U14" i="21"/>
  <c r="U15" i="21"/>
  <c r="U17" i="21"/>
  <c r="U21" i="21"/>
  <c r="U23" i="21"/>
  <c r="S25" i="21"/>
  <c r="W25" i="21"/>
  <c r="U30" i="21"/>
  <c r="W31" i="21"/>
  <c r="S39" i="21"/>
  <c r="W39" i="21"/>
  <c r="U40" i="21"/>
  <c r="S41" i="21"/>
  <c r="W41" i="21"/>
  <c r="W45" i="21"/>
  <c r="R47" i="21"/>
  <c r="V47" i="21"/>
  <c r="G54" i="21"/>
  <c r="H54" i="21" s="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C78" i="71"/>
  <c r="D78" i="71" s="1"/>
  <c r="S80" i="71"/>
  <c r="B79" i="71"/>
  <c r="B78" i="71" s="1"/>
  <c r="V80" i="71"/>
  <c r="D87" i="71"/>
  <c r="C86" i="71"/>
  <c r="D86" i="71" s="1"/>
  <c r="P68" i="71"/>
  <c r="F123" i="21"/>
  <c r="G123" i="21" s="1"/>
  <c r="H123" i="21" s="1"/>
  <c r="I123" i="21" s="1"/>
  <c r="J123" i="21" s="1"/>
  <c r="K123" i="21" s="1"/>
  <c r="L123" i="21" s="1"/>
  <c r="M123"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B20" i="31"/>
  <c r="B21" i="31" s="1"/>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M23" i="67"/>
  <c r="M28" i="67"/>
  <c r="M8" i="67"/>
  <c r="F26" i="67"/>
  <c r="M22" i="67"/>
  <c r="F36" i="67"/>
  <c r="F6" i="67"/>
  <c r="F13" i="67"/>
  <c r="L48" i="67"/>
  <c r="D7" i="73"/>
  <c r="F37" i="67"/>
  <c r="M24" i="67"/>
  <c r="F7" i="67"/>
  <c r="M9" i="67"/>
  <c r="F8" i="67"/>
  <c r="F6" i="73"/>
  <c r="F42" i="21" l="1"/>
  <c r="AA42" i="21" s="1"/>
  <c r="J42" i="21"/>
  <c r="AC42" i="21" s="1"/>
  <c r="H42" i="21"/>
  <c r="AB42" i="21" s="1"/>
  <c r="F28" i="67"/>
  <c r="F31" i="12"/>
  <c r="F65" i="67"/>
  <c r="C27" i="67"/>
  <c r="F64" i="67"/>
  <c r="F51" i="67"/>
  <c r="F68" i="67"/>
  <c r="AZ587" i="3"/>
  <c r="AZ456" i="3"/>
  <c r="AZ366" i="3"/>
  <c r="AZ483" i="3"/>
  <c r="AZ237" i="3"/>
  <c r="AZ129" i="3"/>
  <c r="AZ119" i="3"/>
  <c r="AZ89" i="3"/>
  <c r="AZ69" i="3"/>
  <c r="AZ205" i="3"/>
  <c r="AZ135" i="3"/>
  <c r="AZ105" i="3"/>
  <c r="AZ75" i="3"/>
  <c r="AZ349" i="3"/>
  <c r="AZ249" i="3"/>
  <c r="AZ189" i="3"/>
  <c r="AZ143" i="3"/>
  <c r="AZ67" i="3"/>
  <c r="AZ24" i="3"/>
  <c r="AZ73" i="3"/>
  <c r="AZ265" i="3"/>
  <c r="AZ185" i="3"/>
  <c r="AZ95" i="3"/>
  <c r="AZ79" i="3"/>
  <c r="AZ254" i="3"/>
  <c r="AZ125" i="3"/>
  <c r="D32" i="77"/>
  <c r="AZ435" i="3"/>
  <c r="AZ35" i="3"/>
  <c r="AZ215" i="3"/>
  <c r="AZ31" i="3"/>
  <c r="AZ173" i="3"/>
  <c r="AZ190" i="3"/>
  <c r="W32" i="21"/>
  <c r="W12" i="21"/>
  <c r="W30" i="21"/>
  <c r="AZ545" i="3"/>
  <c r="AZ513" i="3"/>
  <c r="AZ390" i="3"/>
  <c r="AZ358" i="3"/>
  <c r="AZ182" i="3"/>
  <c r="AZ500" i="3"/>
  <c r="AA13" i="21"/>
  <c r="S13" i="21"/>
  <c r="U19" i="21"/>
  <c r="C6" i="78"/>
  <c r="D6" i="78" s="1"/>
  <c r="W11" i="35"/>
  <c r="AR7" i="1"/>
  <c r="AZ573" i="3"/>
  <c r="AZ370" i="3"/>
  <c r="AB9" i="33"/>
  <c r="U9" i="33"/>
  <c r="AC36" i="35"/>
  <c r="W36" i="35"/>
  <c r="AZ584" i="3"/>
  <c r="AA29" i="34"/>
  <c r="S29" i="34"/>
  <c r="C5" i="78"/>
  <c r="D5" i="78" s="1"/>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s="1"/>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F26" i="21"/>
  <c r="AA26" i="21" s="1"/>
  <c r="AQ9" i="1"/>
  <c r="AZ13" i="3"/>
  <c r="S29" i="21"/>
  <c r="U45" i="21"/>
  <c r="F30" i="69"/>
  <c r="F48" i="69" s="1"/>
  <c r="M18" i="15"/>
  <c r="K6" i="1"/>
  <c r="M6" i="1" s="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M7" i="67"/>
  <c r="J6" i="67" s="1"/>
  <c r="F31" i="67"/>
  <c r="G5" i="3"/>
  <c r="B3" i="3" s="1"/>
  <c r="E317" i="3" s="1"/>
  <c r="AZ477" i="3"/>
  <c r="AZ445" i="3"/>
  <c r="F106" i="21"/>
  <c r="G106" i="21" s="1"/>
  <c r="H106" i="21" s="1"/>
  <c r="I106" i="21" s="1"/>
  <c r="J106" i="21" s="1"/>
  <c r="K106" i="21" s="1"/>
  <c r="L106" i="21" s="1"/>
  <c r="M106" i="21" s="1"/>
  <c r="F34" i="21"/>
  <c r="J34" i="21"/>
  <c r="AC34" i="21" s="1"/>
  <c r="E8" i="6"/>
  <c r="AZ364" i="3"/>
  <c r="AZ311" i="3"/>
  <c r="AZ338" i="3"/>
  <c r="AZ275" i="3"/>
  <c r="AZ303" i="3"/>
  <c r="E17" i="43"/>
  <c r="J26" i="21"/>
  <c r="AC26" i="21" s="1"/>
  <c r="S27" i="21"/>
  <c r="W27" i="21"/>
  <c r="E13" i="6"/>
  <c r="E58" i="40" s="1"/>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F27" i="6"/>
  <c r="E62"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E59" i="40"/>
  <c r="E63" i="39"/>
  <c r="F30" i="6"/>
  <c r="E28" i="6"/>
  <c r="BA5" i="3"/>
  <c r="E27" i="6" s="1"/>
  <c r="S42" i="21"/>
  <c r="W35" i="21"/>
  <c r="S35" i="21"/>
  <c r="AA35" i="21"/>
  <c r="W43" i="21"/>
  <c r="U43" i="21"/>
  <c r="U27" i="21"/>
  <c r="L58" i="67"/>
  <c r="Q73" i="67" s="1"/>
  <c r="I24" i="43"/>
  <c r="C24" i="43" s="1"/>
  <c r="G6" i="1"/>
  <c r="C7" i="40"/>
  <c r="C63" i="40" s="1"/>
  <c r="C7" i="39"/>
  <c r="C67" i="39" s="1"/>
  <c r="G23" i="43"/>
  <c r="C7" i="36"/>
  <c r="C46" i="36" s="1"/>
  <c r="C7" i="34"/>
  <c r="C59" i="34" s="1"/>
  <c r="J51" i="67"/>
  <c r="L60" i="67" s="1"/>
  <c r="Q66" i="67" s="1"/>
  <c r="M47" i="9"/>
  <c r="C7" i="35"/>
  <c r="C48" i="35" s="1"/>
  <c r="C7" i="37"/>
  <c r="C52" i="37" s="1"/>
  <c r="C7" i="33"/>
  <c r="C58" i="33" s="1"/>
  <c r="C7" i="21"/>
  <c r="C58" i="21" s="1"/>
  <c r="C42" i="1"/>
  <c r="M26" i="15"/>
  <c r="F13" i="15"/>
  <c r="M29" i="67"/>
  <c r="J15" i="15"/>
  <c r="F8" i="15"/>
  <c r="F9" i="15"/>
  <c r="F41" i="15"/>
  <c r="D5" i="73"/>
  <c r="F36" i="15"/>
  <c r="D3" i="73"/>
  <c r="F38" i="15"/>
  <c r="F7" i="73"/>
  <c r="F37" i="15"/>
  <c r="F26" i="15"/>
  <c r="F7" i="15"/>
  <c r="M29" i="15"/>
  <c r="F3" i="73"/>
  <c r="F40" i="15"/>
  <c r="M21" i="15"/>
  <c r="M24" i="15"/>
  <c r="C14" i="15"/>
  <c r="F35" i="15"/>
  <c r="D6" i="73"/>
  <c r="F5" i="73"/>
  <c r="M28" i="15"/>
  <c r="F43" i="15"/>
  <c r="M27" i="15"/>
  <c r="M6" i="15"/>
  <c r="M23" i="15"/>
  <c r="M8" i="15"/>
  <c r="L47" i="15"/>
  <c r="L48" i="15"/>
  <c r="C76" i="15"/>
  <c r="D4" i="73"/>
  <c r="F4" i="73"/>
  <c r="F42" i="15"/>
  <c r="M9" i="15"/>
  <c r="M22" i="15"/>
  <c r="F16" i="15"/>
  <c r="F6" i="15"/>
  <c r="U42" i="21" l="1"/>
  <c r="W42" i="21"/>
  <c r="Q16" i="1"/>
  <c r="AB33" i="21"/>
  <c r="C49" i="67"/>
  <c r="E101" i="3"/>
  <c r="E60" i="40"/>
  <c r="E86" i="3"/>
  <c r="E22" i="3"/>
  <c r="G16" i="1"/>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J18" i="67"/>
  <c r="C31" i="67"/>
  <c r="E67" i="3"/>
  <c r="E544" i="3"/>
  <c r="E460" i="3"/>
  <c r="E503" i="3"/>
  <c r="E403" i="3"/>
  <c r="E356" i="3"/>
  <c r="E228" i="3"/>
  <c r="E338" i="3"/>
  <c r="E250" i="3"/>
  <c r="E166" i="3"/>
  <c r="E83" i="3"/>
  <c r="P6" i="3"/>
  <c r="W34" i="21"/>
  <c r="S34" i="21"/>
  <c r="AA34" i="21"/>
  <c r="E330" i="3"/>
  <c r="J19" i="67"/>
  <c r="D9" i="69"/>
  <c r="C9" i="69" s="1"/>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F27" i="11"/>
  <c r="F27" i="69"/>
  <c r="F28" i="12"/>
  <c r="F27" i="68"/>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T59" i="21"/>
  <c r="U59" i="21" s="1"/>
  <c r="V59" i="21" s="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7" i="15"/>
  <c r="G1" i="73"/>
  <c r="C16" i="15"/>
  <c r="C16" i="67"/>
  <c r="H6" i="3" l="1"/>
  <c r="C59" i="67"/>
  <c r="AC6" i="3"/>
  <c r="E65" i="39"/>
  <c r="B40" i="1"/>
  <c r="F22" i="11" s="1"/>
  <c r="C23" i="11" s="1"/>
  <c r="AY6" i="3"/>
  <c r="AY585" i="3" s="1"/>
  <c r="H7" i="35"/>
  <c r="AB7" i="35" s="1"/>
  <c r="T38" i="35" s="1"/>
  <c r="G38" i="35" s="1"/>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D65" i="40"/>
  <c r="E63" i="40"/>
  <c r="AC7" i="34"/>
  <c r="V49" i="34" s="1"/>
  <c r="I49" i="34" s="1"/>
  <c r="J7" i="37"/>
  <c r="C17" i="67"/>
  <c r="AE6" i="1"/>
  <c r="C14" i="67"/>
  <c r="AY423" i="3" l="1"/>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D25" i="6" l="1"/>
  <c r="D15" i="6"/>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41" i="36"/>
  <c r="H41" i="36" s="1"/>
  <c r="G40" i="36"/>
  <c r="H40" i="36" s="1"/>
  <c r="R50" i="34"/>
  <c r="E49" i="34"/>
  <c r="G47" i="37"/>
  <c r="H47" i="37" s="1"/>
  <c r="G46" i="37"/>
  <c r="H46" i="37" s="1"/>
  <c r="E53" i="33"/>
  <c r="F53" i="33" s="1"/>
  <c r="E52" i="33"/>
  <c r="F52" i="33" s="1"/>
  <c r="B6" i="76"/>
  <c r="E6" i="76"/>
  <c r="R21" i="6" l="1"/>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50" i="34"/>
  <c r="C49" i="34"/>
  <c r="C42" i="37"/>
  <c r="C43" i="37"/>
  <c r="C20" i="69"/>
  <c r="C25" i="69" s="1"/>
  <c r="C23" i="69"/>
  <c r="E41" i="36"/>
  <c r="F41" i="36" s="1"/>
  <c r="E40" i="36"/>
  <c r="F40" i="36"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D31" i="6" l="1"/>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H69" i="39"/>
  <c r="I67" i="39"/>
  <c r="H65" i="40"/>
  <c r="I63" i="40"/>
  <c r="F35" i="67"/>
  <c r="M21" i="67"/>
  <c r="I6" i="6" l="1"/>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19" i="9"/>
  <c r="AO6" i="1"/>
  <c r="C20" i="9"/>
  <c r="C103" i="9" l="1"/>
  <c r="B6" i="70"/>
  <c r="B2" i="70" s="1"/>
  <c r="B3" i="70" s="1"/>
  <c r="C21" i="9"/>
  <c r="C102" i="9"/>
  <c r="T12" i="71"/>
  <c r="D12" i="71"/>
  <c r="U12" i="71" s="1"/>
  <c r="C11" i="71"/>
  <c r="M65" i="40"/>
  <c r="N63" i="40"/>
  <c r="M69" i="39"/>
  <c r="N67" i="39"/>
  <c r="D11" i="71" l="1"/>
  <c r="C10" i="71"/>
  <c r="N69" i="39"/>
  <c r="O67" i="39"/>
  <c r="O69" i="39" s="1"/>
  <c r="N65" i="40"/>
  <c r="O63" i="40"/>
  <c r="O65" i="40" s="1"/>
  <c r="D10" i="71" l="1"/>
  <c r="C9" i="71"/>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U37" i="21" l="1"/>
  <c r="AA37" i="21"/>
  <c r="R48" i="21" s="1"/>
  <c r="S37" i="21" l="1"/>
  <c r="E48" i="21"/>
  <c r="AB37" i="21"/>
  <c r="T48" i="21" s="1"/>
  <c r="G48" i="21" s="1"/>
  <c r="G52" i="21" l="1"/>
  <c r="H52" i="21" s="1"/>
  <c r="W37" i="21"/>
  <c r="AC37" i="21"/>
  <c r="V48" i="21" s="1"/>
  <c r="I48" i="21" s="1"/>
  <c r="G53" i="21" s="1"/>
  <c r="H53" i="21" s="1"/>
  <c r="E52" i="21"/>
  <c r="F52" i="21" s="1"/>
  <c r="E53" i="21"/>
  <c r="F53" i="21" s="1"/>
  <c r="R49" i="21" l="1"/>
  <c r="I53" i="21"/>
  <c r="J53" i="21" s="1"/>
  <c r="I52" i="21"/>
  <c r="J52" i="21" s="1"/>
  <c r="C49" i="21" l="1"/>
  <c r="C48" i="21"/>
  <c r="B3" i="21" l="1"/>
  <c r="B2" i="21"/>
  <c r="D19" i="9"/>
  <c r="D20" i="9"/>
  <c r="D22" i="9" l="1"/>
  <c r="G20" i="9"/>
  <c r="D103" i="9"/>
  <c r="D21" i="9"/>
  <c r="D102" i="9"/>
  <c r="E14" i="74" l="1"/>
  <c r="D14" i="74" s="1"/>
  <c r="G19" i="9"/>
  <c r="C32" i="9"/>
  <c r="C35" i="9" l="1"/>
  <c r="C34" i="9" s="1"/>
  <c r="D30" i="9"/>
  <c r="C30" i="9" s="1"/>
  <c r="G21" i="9"/>
  <c r="I20" i="9"/>
  <c r="F14" i="74"/>
  <c r="B5" i="74"/>
  <c r="G24" i="9"/>
  <c r="D5" i="74" l="1"/>
  <c r="E97" i="9"/>
  <c r="E96" i="9"/>
  <c r="C96" i="9"/>
  <c r="B31" i="72"/>
  <c r="D15" i="53"/>
  <c r="B53" i="72"/>
  <c r="F5" i="52"/>
  <c r="F119" i="9"/>
  <c r="B22" i="72"/>
  <c r="D6" i="53"/>
  <c r="E81" i="9"/>
  <c r="E80" i="9"/>
  <c r="C80" i="9"/>
  <c r="B51" i="72"/>
  <c r="F4" i="52"/>
  <c r="B52" i="72"/>
  <c r="F118" i="9"/>
  <c r="G118" i="9"/>
  <c r="G4" i="52"/>
  <c r="B32" i="72"/>
  <c r="D14" i="53"/>
  <c r="H108" i="9"/>
  <c r="C6" i="74"/>
  <c r="C73" i="9"/>
  <c r="C78" i="9"/>
  <c r="I4" i="52"/>
  <c r="C105" i="9"/>
  <c r="N61" i="9"/>
  <c r="N59" i="9"/>
  <c r="N60" i="9"/>
  <c r="D59" i="9"/>
  <c r="M55" i="9"/>
  <c r="H5" i="52"/>
  <c r="H119" i="9"/>
  <c r="C64" i="9"/>
  <c r="C63" i="9"/>
  <c r="C67" i="9"/>
  <c r="C68" i="9"/>
  <c r="D54" i="9"/>
  <c r="E4" i="52"/>
  <c r="B48" i="72"/>
  <c r="B21" i="72"/>
  <c r="D7" i="53"/>
  <c r="D9" i="52"/>
  <c r="D123" i="9"/>
  <c r="D122" i="9"/>
  <c r="D8" i="52"/>
  <c r="B47" i="72"/>
  <c r="D4" i="52"/>
  <c r="H4" i="52"/>
  <c r="C104" i="9"/>
  <c r="D52" i="9"/>
  <c r="D53" i="9"/>
  <c r="M48" i="9"/>
  <c r="H107" i="9"/>
  <c r="D13" i="53"/>
  <c r="B30" i="72"/>
  <c r="H102" i="9"/>
  <c r="C5" i="74"/>
  <c r="N58" i="9"/>
  <c r="D55" i="9"/>
  <c r="M53" i="9"/>
  <c r="N57" i="9"/>
  <c r="P57" i="9"/>
  <c r="C93" i="9"/>
  <c r="C86" i="9"/>
  <c r="C72" i="9"/>
  <c r="C79" i="9"/>
  <c r="C81" i="9"/>
  <c r="E118" i="9"/>
  <c r="D118" i="9"/>
  <c r="D119" i="9"/>
  <c r="D5" i="52"/>
  <c r="B49" i="72"/>
  <c r="D45" i="9"/>
  <c r="C85" i="9"/>
  <c r="C95" i="9"/>
  <c r="C97" i="9"/>
  <c r="D58" i="9"/>
  <c r="D56" i="9"/>
  <c r="M54" i="9"/>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4B4328C-8264-4AA6-AEE8-33A62C9AD699}">
      <text>
        <r>
          <rPr>
            <b/>
            <sz val="9"/>
            <color indexed="81"/>
            <rFont val="宋体"/>
            <family val="3"/>
            <charset val="134"/>
          </rPr>
          <t>权重验证</t>
        </r>
        <r>
          <rPr>
            <sz val="9"/>
            <color indexed="81"/>
            <rFont val="宋体"/>
            <family val="3"/>
            <charset val="134"/>
          </rPr>
          <t xml:space="preserve">
</t>
        </r>
      </text>
    </comment>
    <comment ref="C58" authorId="1" shapeId="0" xr:uid="{2C6EEFFB-6ADF-4177-8876-396C439668A1}">
      <text>
        <r>
          <rPr>
            <b/>
            <sz val="12"/>
            <color indexed="81"/>
            <rFont val="宋体"/>
            <family val="3"/>
            <charset val="134"/>
          </rPr>
          <t>价值时点所在月度</t>
        </r>
        <r>
          <rPr>
            <sz val="12"/>
            <color indexed="81"/>
            <rFont val="宋体"/>
            <family val="3"/>
            <charset val="134"/>
          </rPr>
          <t xml:space="preserve">
</t>
        </r>
      </text>
    </comment>
    <comment ref="B102" authorId="1" shapeId="0" xr:uid="{1F3FFD80-361F-4A0A-BA7D-BB0552F900A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<sst xmlns="http://schemas.openxmlformats.org/spreadsheetml/2006/main" count="10818" uniqueCount="3607">
  <si>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</si>
  <si>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</si>
  <si>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</si>
  <si>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</si>
  <si>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</si>
  <si>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</si>
  <si>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</si>
  <si>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</si>
  <si>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</si>
  <si>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</si>
  <si>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</si>
  <si>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</si>
  <si>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</si>
  <si>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</si>
  <si>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</si>
  <si>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</si>
  <si>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</si>
  <si>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</si>
  <si>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</si>
  <si>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</si>
  <si>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</si>
  <si>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</si>
  <si>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</si>
  <si>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</si>
  <si>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</si>
  <si>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</si>
  <si>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</si>
  <si>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</si>
  <si>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</si>
  <si>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</si>
  <si>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</si>
  <si>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</si>
  <si>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</si>
  <si>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</si>
  <si>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</si>
  <si>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</si>
  <si>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</si>
  <si>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</si>
  <si>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</si>
  <si>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</si>
  <si>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</si>
  <si>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</si>
  <si>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</si>
  <si>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</si>
  <si>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</si>
  <si>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</si>
  <si>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</si>
  <si>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</si>
  <si>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</si>
  <si>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</si>
  <si>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</si>
  <si>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</si>
  <si>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</si>
  <si>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</si>
  <si>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</si>
  <si>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</si>
  <si>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</si>
  <si>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</si>
  <si>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</si>
  <si>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</si>
  <si>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</si>
  <si>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</si>
  <si>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</si>
  <si>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</si>
  <si>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</si>
  <si>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</si>
  <si>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</si>
  <si>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</si>
  <si>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</si>
  <si>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</si>
  <si>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</si>
  <si>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</si>
  <si>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</si>
  <si>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</si>
  <si>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</si>
  <si>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</si>
  <si>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</si>
  <si>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</si>
  <si>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</si>
  <si>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</si>
  <si>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</si>
  <si>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</si>
  <si>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</si>
  <si>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</si>
  <si>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</si>
  <si>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</si>
  <si>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</si>
  <si>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</si>
  <si>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</si>
  <si>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</si>
  <si>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</si>
  <si>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</si>
  <si>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</si>
  <si>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</si>
  <si>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</si>
  <si>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</si>
  <si>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</si>
  <si>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</si>
  <si>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</si>
  <si>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</si>
  <si>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</si>
  <si>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</si>
  <si>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</si>
  <si>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</si>
  <si>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</si>
  <si>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</si>
  <si>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</si>
  <si>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</si>
  <si>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</si>
  <si>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</si>
  <si>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</si>
  <si>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</si>
  <si>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</si>
  <si>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</si>
  <si>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</si>
  <si>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</si>
  <si>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</si>
  <si>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</si>
  <si>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</si>
  <si>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</si>
  <si>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</si>
  <si>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</si>
  <si>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</si>
  <si>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</si>
  <si>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</si>
  <si>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</si>
  <si>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</si>
  <si>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</si>
  <si>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</si>
  <si>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</si>
  <si>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</si>
  <si>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</si>
  <si>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</si>
  <si>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</si>
  <si>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</si>
  <si>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</si>
  <si>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</si>
  <si>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</si>
  <si>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</si>
  <si>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</si>
  <si>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</si>
  <si>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</si>
  <si>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</si>
  <si>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</si>
  <si>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</si>
  <si>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</si>
  <si>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</si>
  <si>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</si>
  <si>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</si>
  <si>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</si>
  <si>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</si>
  <si>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</si>
  <si>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</si>
  <si>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</si>
  <si>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</si>
  <si>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</si>
  <si>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</si>
  <si>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</si>
  <si>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</si>
  <si>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</si>
  <si>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</si>
  <si>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</si>
  <si>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</si>
  <si>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</si>
  <si>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</si>
  <si>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</si>
  <si>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</si>
  <si>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</si>
  <si>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</si>
  <si>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</si>
  <si>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</si>
  <si>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</si>
  <si>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</si>
  <si>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</si>
  <si>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</si>
  <si>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</si>
  <si>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</si>
  <si>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</si>
  <si>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</si>
  <si>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</si>
  <si>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</si>
  <si>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</si>
  <si>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</si>
  <si>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</si>
  <si>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</si>
  <si>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</si>
  <si>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</si>
  <si>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</si>
  <si>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</si>
  <si>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</si>
  <si>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</si>
  <si>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</si>
  <si>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</si>
  <si>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</si>
  <si>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</si>
  <si>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</si>
  <si>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</si>
  <si>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</si>
  <si>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</si>
  <si>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</si>
  <si>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</si>
  <si>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</si>
  <si>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</si>
  <si>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</si>
  <si>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</si>
  <si>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</si>
  <si>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</si>
  <si>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</si>
  <si>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</si>
  <si>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</si>
  <si>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</si>
  <si>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</si>
  <si>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</si>
  <si>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</si>
  <si>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</si>
  <si>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</si>
  <si>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</si>
  <si>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</si>
  <si>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</si>
  <si>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</si>
  <si>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</si>
  <si>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</si>
  <si>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</si>
  <si>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</si>
  <si>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</si>
  <si>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</si>
  <si>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</si>
  <si>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</si>
  <si>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</si>
  <si>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</si>
  <si>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</si>
  <si>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</si>
  <si>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</si>
  <si>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</si>
  <si>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</si>
  <si>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</si>
  <si>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</si>
  <si>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</si>
  <si>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</si>
  <si>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</si>
  <si>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</si>
  <si>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</si>
  <si>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</si>
  <si>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</si>
  <si>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</si>
  <si>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</si>
  <si>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</si>
  <si>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</si>
  <si>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</si>
  <si>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</si>
  <si>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</si>
  <si>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</si>
  <si>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</si>
  <si>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</si>
  <si>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</si>
  <si>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</si>
  <si>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</si>
  <si>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</si>
  <si>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</si>
  <si>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</si>
  <si>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</si>
  <si>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</si>
  <si>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</si>
  <si>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</si>
  <si>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</si>
  <si>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</si>
  <si>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</si>
  <si>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</si>
  <si>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</si>
  <si>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</si>
  <si>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</si>
  <si>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</si>
  <si>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</si>
  <si>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</si>
  <si>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</si>
  <si>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</si>
  <si>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</si>
  <si>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</si>
  <si>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</si>
  <si>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</si>
  <si>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</si>
  <si>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</si>
  <si>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</si>
  <si>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</si>
  <si>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</si>
  <si>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</si>
  <si>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</si>
  <si>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</si>
  <si>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</si>
  <si>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</si>
  <si>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</si>
  <si>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</si>
  <si>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</si>
  <si>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</si>
  <si>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</si>
  <si>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</si>
  <si>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</si>
  <si>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</si>
  <si>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</si>
  <si>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</si>
  <si>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</si>
  <si>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</si>
  <si>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</si>
  <si>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</si>
  <si>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</si>
  <si>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</si>
  <si>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</si>
  <si>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</si>
  <si>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</si>
  <si>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</si>
  <si>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</si>
  <si>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</si>
  <si>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</si>
  <si>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</si>
  <si>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</si>
  <si>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</si>
  <si>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</si>
  <si>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</si>
  <si>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</si>
  <si>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</si>
  <si>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</si>
  <si>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</si>
  <si>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</si>
  <si>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</si>
  <si>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</si>
  <si>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</si>
  <si>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</si>
  <si>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</si>
  <si>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</si>
  <si>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</si>
  <si>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</si>
  <si>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</si>
  <si>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</si>
  <si>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</si>
  <si>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</si>
  <si>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</si>
  <si>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</si>
  <si>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</si>
  <si>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</si>
  <si>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</si>
  <si>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</si>
  <si>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</si>
  <si>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</si>
  <si>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</si>
  <si>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</si>
  <si>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</si>
  <si>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</si>
  <si>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</si>
  <si>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</si>
  <si>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</si>
  <si>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</si>
  <si>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</si>
  <si>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</si>
  <si>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</si>
  <si>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</si>
  <si>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</si>
  <si>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</si>
  <si>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</si>
  <si>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</si>
  <si>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</si>
  <si>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</si>
  <si>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</si>
  <si>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</si>
  <si>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</si>
  <si>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</si>
  <si>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</si>
  <si>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</si>
  <si>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</si>
  <si>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</si>
  <si>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</si>
  <si>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</si>
  <si>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</si>
  <si>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</si>
  <si>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</si>
  <si>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</si>
  <si>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</si>
  <si>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</si>
  <si>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</si>
  <si>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</si>
  <si>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</si>
  <si>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</si>
  <si>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</si>
  <si>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</si>
  <si>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</si>
  <si>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</si>
  <si>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</si>
  <si>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</si>
  <si>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</si>
  <si>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</si>
  <si>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</si>
  <si>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</si>
  <si>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</si>
  <si>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</si>
  <si>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</si>
  <si>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</si>
  <si>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</si>
  <si>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</si>
  <si>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</si>
  <si>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</si>
  <si>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</si>
  <si>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</si>
  <si>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</si>
  <si>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</si>
  <si>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</si>
  <si>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</si>
  <si>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</si>
  <si>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</si>
  <si>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</si>
  <si>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</si>
  <si>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</si>
  <si>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</si>
  <si>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</si>
  <si>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</si>
  <si>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</si>
  <si>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</si>
  <si>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</si>
  <si>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</si>
  <si>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</si>
  <si>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</si>
  <si>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</si>
  <si>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</si>
  <si>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</si>
  <si>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</si>
  <si>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</si>
  <si>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</si>
  <si>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</si>
  <si>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</si>
  <si>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</si>
  <si>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</si>
  <si>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</si>
  <si>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</si>
  <si>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</si>
  <si>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</si>
  <si>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</si>
  <si>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</si>
  <si>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</si>
  <si>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</si>
  <si>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</si>
  <si>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</si>
  <si>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</si>
  <si>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</si>
  <si>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</si>
  <si>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</si>
  <si>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</si>
  <si>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</si>
  <si>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</si>
  <si>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</si>
  <si>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</si>
  <si>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</si>
  <si>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</si>
  <si>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</si>
  <si>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</si>
  <si>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</si>
  <si>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</si>
  <si>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</si>
  <si>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</si>
  <si>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</si>
  <si>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</si>
  <si>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</si>
  <si>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</si>
  <si>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</si>
  <si>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</si>
  <si>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</si>
  <si>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</si>
  <si>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</si>
  <si>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</si>
  <si>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</si>
  <si>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</si>
  <si>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</si>
  <si>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</si>
  <si>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</si>
  <si>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</si>
  <si>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</si>
  <si>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</si>
  <si>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</si>
  <si>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</si>
  <si>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</si>
  <si>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</si>
  <si>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</si>
  <si>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</si>
  <si>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</si>
  <si>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</si>
  <si>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</si>
  <si>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</si>
  <si>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</si>
  <si>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</si>
  <si>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</si>
  <si>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</si>
  <si>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</si>
  <si>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</si>
  <si>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</si>
  <si>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</si>
  <si>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</si>
  <si>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</si>
  <si>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</si>
  <si>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</si>
  <si>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</si>
  <si>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</si>
  <si>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</si>
  <si>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</si>
  <si>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</si>
  <si>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</si>
  <si>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</si>
  <si>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</si>
  <si>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</si>
  <si>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</si>
  <si>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</si>
  <si>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</si>
  <si>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</si>
  <si>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</si>
  <si>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</si>
  <si>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</si>
  <si>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</si>
  <si>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</si>
  <si>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</si>
  <si>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</si>
  <si>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</si>
  <si>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</si>
  <si>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</si>
  <si>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</si>
  <si>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</si>
  <si>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</si>
  <si>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</si>
  <si>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</si>
  <si>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</si>
  <si>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</si>
  <si>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</si>
  <si>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</si>
  <si>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</si>
  <si>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</si>
  <si>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</si>
  <si>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</si>
  <si>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</si>
  <si>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</si>
  <si>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</si>
  <si>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</si>
  <si>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</si>
  <si>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</si>
  <si>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</si>
  <si>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</si>
  <si>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</si>
  <si>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</si>
  <si>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</si>
  <si>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</si>
  <si>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</si>
  <si>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</si>
  <si>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</si>
  <si>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</si>
  <si>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</si>
  <si>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</si>
  <si>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</si>
  <si>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</si>
  <si>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</si>
  <si>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</si>
  <si>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</si>
  <si>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</si>
  <si>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</si>
  <si>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</si>
  <si>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</si>
  <si>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</si>
  <si>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</si>
  <si>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</si>
  <si>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</si>
  <si>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</si>
  <si>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</si>
  <si>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</si>
  <si>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</si>
  <si>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</si>
  <si>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</si>
  <si>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</si>
  <si>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</si>
  <si>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</si>
  <si>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</si>
  <si>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</si>
  <si>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</si>
  <si>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</si>
  <si>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</si>
  <si>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</si>
  <si>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</si>
  <si>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</si>
  <si>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</si>
  <si>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</si>
  <si>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</si>
  <si>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</si>
  <si>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</si>
  <si>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</si>
  <si>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</si>
  <si>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</si>
  <si>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</si>
  <si>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</si>
  <si>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</si>
  <si>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</si>
  <si>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</si>
  <si>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</si>
  <si>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</si>
  <si>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</si>
  <si>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</si>
  <si>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</si>
  <si>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</si>
  <si>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</si>
  <si>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</si>
  <si>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</si>
  <si>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</si>
  <si>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</si>
  <si>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</si>
  <si>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</si>
  <si>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</si>
  <si>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</si>
  <si>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</si>
  <si>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</si>
  <si>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</si>
  <si>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</si>
  <si>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</si>
  <si>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</si>
  <si>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</si>
  <si>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</si>
  <si>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</si>
  <si>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</si>
  <si>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</si>
  <si>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</si>
  <si>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</si>
  <si>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</si>
  <si>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</si>
  <si>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</si>
  <si>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</si>
  <si>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</si>
  <si>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</si>
  <si>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</si>
  <si>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</si>
  <si>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</si>
  <si>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</si>
  <si>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</si>
  <si>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</si>
  <si>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</si>
  <si>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</si>
  <si>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</si>
  <si>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</si>
  <si>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</si>
  <si>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</si>
  <si>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</si>
  <si>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</si>
  <si>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</si>
  <si>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</si>
  <si>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</si>
  <si>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</si>
  <si>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</si>
  <si>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</si>
  <si>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</si>
  <si>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</si>
  <si>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</si>
  <si>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</si>
  <si>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</si>
  <si>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</si>
  <si>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</si>
  <si>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</si>
  <si>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</si>
  <si>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</si>
  <si>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</si>
  <si>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</si>
  <si>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</si>
  <si>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</si>
  <si>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</si>
  <si>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</si>
  <si>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</si>
  <si>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</si>
  <si>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</si>
  <si>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</si>
  <si>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</si>
  <si>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</si>
  <si>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</si>
  <si>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</si>
  <si>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</si>
  <si>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</si>
  <si>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</si>
  <si>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</si>
  <si>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</si>
  <si>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</si>
  <si>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</si>
  <si>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</si>
  <si>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</si>
  <si>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</si>
  <si>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</si>
  <si>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</si>
  <si>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</si>
  <si>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</si>
  <si>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</si>
  <si>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</si>
  <si>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</si>
  <si>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</si>
  <si>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</si>
  <si>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</si>
  <si>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</si>
  <si>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</si>
  <si>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</si>
  <si>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</si>
  <si>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</si>
  <si>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</si>
  <si>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</si>
  <si>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</si>
  <si>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</si>
  <si>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</si>
  <si>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</si>
  <si>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</si>
  <si>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</si>
  <si>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</si>
  <si>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</si>
  <si>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</si>
  <si>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</si>
  <si>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</si>
  <si>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</si>
  <si>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</si>
  <si>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</si>
  <si>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</si>
  <si>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</si>
  <si>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</si>
  <si>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</si>
  <si>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</si>
  <si>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</si>
  <si>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</si>
  <si>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</si>
  <si>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</si>
  <si>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</si>
  <si>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</si>
  <si>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</si>
  <si>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</si>
  <si>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</si>
  <si>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</si>
  <si>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</si>
  <si>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</si>
  <si>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</si>
  <si>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</si>
  <si>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</si>
  <si>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</si>
  <si>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</si>
  <si>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</si>
  <si>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</si>
  <si>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</si>
  <si>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</si>
  <si>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</si>
  <si>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</si>
  <si>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</si>
  <si>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</si>
  <si>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</si>
  <si>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</si>
  <si>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</si>
  <si>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</si>
  <si>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</si>
  <si>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</si>
  <si>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</si>
  <si>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</si>
  <si>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</si>
  <si>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</si>
  <si>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</si>
  <si>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</si>
  <si>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</si>
  <si>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</si>
  <si>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</si>
  <si>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</si>
  <si>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</si>
  <si>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</si>
  <si>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</si>
  <si>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</si>
  <si>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</si>
  <si>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</si>
  <si>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</si>
  <si>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</si>
  <si>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</si>
  <si>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</si>
  <si>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</si>
  <si>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</si>
  <si>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</si>
  <si>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</si>
  <si>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</si>
  <si>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</si>
  <si>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</si>
  <si>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</si>
  <si>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</si>
  <si>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</si>
  <si>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</si>
  <si>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</si>
  <si>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</si>
  <si>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</si>
  <si>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</si>
  <si>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</si>
  <si>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</si>
  <si>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</si>
  <si>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</si>
  <si>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</si>
  <si>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</si>
  <si>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</si>
  <si>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</si>
  <si>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</si>
  <si>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</si>
  <si>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</si>
  <si>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</si>
  <si>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</si>
  <si>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</si>
  <si>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</si>
  <si>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</si>
  <si>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</si>
  <si>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</si>
  <si>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</si>
  <si>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</si>
  <si>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</si>
  <si>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</si>
  <si>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</si>
  <si>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</si>
  <si>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</si>
  <si>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</si>
  <si>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</si>
  <si>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</si>
  <si>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</si>
  <si>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</si>
  <si>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</si>
  <si>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</si>
  <si>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</si>
  <si>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</si>
  <si>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</si>
  <si>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</si>
  <si>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</si>
  <si>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</si>
  <si>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</si>
  <si>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</si>
  <si>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</si>
  <si>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</si>
  <si>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</si>
  <si>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</si>
  <si>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</si>
  <si>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</si>
  <si>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</si>
  <si>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</si>
  <si>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</si>
  <si>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</si>
  <si>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</si>
  <si>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</si>
  <si>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</si>
  <si>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</si>
  <si>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</si>
  <si>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</si>
  <si>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</si>
  <si>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</si>
  <si>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</si>
  <si>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</si>
  <si>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</si>
  <si>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</si>
  <si>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</si>
  <si>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</si>
  <si>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</si>
  <si>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</si>
  <si>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</si>
  <si>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</si>
  <si>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</si>
  <si>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</si>
  <si>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</si>
  <si>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</si>
  <si>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</si>
  <si>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</si>
  <si>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</si>
  <si>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</si>
  <si>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</si>
  <si>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</si>
  <si>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</si>
  <si>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</si>
  <si>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</si>
  <si>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</si>
  <si>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</si>
  <si>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</si>
  <si>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</si>
  <si>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</si>
  <si>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</si>
  <si>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</si>
  <si>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</si>
  <si>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</si>
  <si>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</si>
  <si>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</si>
  <si>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</si>
  <si>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</si>
  <si>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</si>
  <si>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</si>
  <si>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</si>
  <si>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</si>
  <si>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</si>
  <si>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</si>
  <si>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</si>
  <si>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</si>
  <si>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</si>
  <si>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</si>
  <si>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</si>
  <si>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</si>
  <si>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</si>
  <si>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</si>
  <si>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</si>
  <si>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</si>
  <si>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</si>
  <si>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</si>
  <si>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</si>
  <si>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</si>
  <si>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</si>
  <si>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</si>
  <si>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</si>
  <si>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</si>
  <si>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</si>
  <si>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</si>
  <si>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</si>
  <si>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</si>
  <si>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</si>
  <si>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</si>
  <si>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</si>
  <si>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</si>
  <si>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</si>
  <si>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</si>
  <si>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</si>
  <si>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</si>
  <si>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</si>
  <si>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</si>
  <si>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</si>
  <si>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</si>
  <si>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</si>
  <si>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</si>
  <si>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</si>
  <si>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</si>
  <si>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</si>
  <si>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</si>
  <si>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</si>
  <si>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</si>
  <si>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</si>
  <si>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</si>
  <si>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</si>
  <si>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</si>
  <si>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</si>
  <si>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</si>
  <si>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</si>
  <si>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</si>
  <si>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</si>
  <si>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</si>
  <si>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</si>
  <si>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</si>
  <si>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</si>
  <si>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</si>
  <si>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</si>
  <si>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</si>
  <si>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</si>
  <si>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</si>
  <si>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</si>
  <si>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</si>
  <si>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</si>
  <si>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</si>
  <si>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</si>
  <si>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</si>
  <si>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</si>
  <si>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</si>
  <si>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</si>
  <si>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</si>
  <si>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</si>
  <si>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</si>
  <si>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</si>
  <si>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</si>
  <si>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</si>
  <si>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</si>
  <si>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</si>
  <si>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</si>
  <si>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</si>
  <si>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</si>
  <si>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</si>
  <si>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</si>
  <si>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</si>
  <si>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</si>
  <si>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</si>
  <si>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</si>
  <si>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</si>
  <si>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</si>
  <si>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</si>
  <si>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</si>
  <si>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</si>
  <si>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</si>
  <si>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</si>
  <si>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</si>
  <si>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</si>
  <si>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</si>
  <si>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</si>
  <si>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</si>
  <si>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</si>
  <si>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</si>
  <si>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</si>
  <si>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</si>
  <si>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</si>
  <si>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</si>
  <si>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</si>
  <si>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</si>
  <si>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</si>
  <si>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</si>
  <si>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</si>
  <si>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</si>
  <si>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</si>
  <si>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</si>
  <si>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</si>
  <si>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</si>
  <si>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</si>
  <si>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</si>
  <si>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</si>
  <si>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</si>
  <si>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</si>
  <si>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</si>
  <si>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</si>
  <si>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</si>
  <si>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</si>
  <si>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</si>
  <si>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</si>
  <si>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</si>
  <si>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</si>
  <si>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</si>
  <si>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</si>
  <si>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</si>
  <si>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</si>
  <si>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</si>
  <si>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</si>
  <si>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</si>
  <si>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</si>
  <si>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</si>
  <si>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</si>
  <si>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</si>
  <si>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</si>
  <si>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</si>
  <si>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</si>
  <si>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</si>
  <si>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</si>
  <si>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</si>
  <si>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</si>
  <si>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</si>
  <si>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</si>
  <si>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</si>
  <si>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</si>
  <si>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</si>
  <si>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</si>
  <si>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</si>
  <si>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</si>
  <si>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</si>
  <si>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</si>
  <si>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</si>
  <si>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</si>
  <si>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</si>
  <si>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</si>
  <si>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</si>
  <si>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</si>
  <si>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</si>
  <si>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</si>
  <si>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</si>
  <si>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</si>
  <si>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</si>
  <si>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</si>
  <si>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</si>
  <si>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</si>
  <si>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</si>
  <si>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</si>
  <si>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</si>
  <si>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</si>
  <si>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</si>
  <si>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</si>
  <si>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</si>
  <si>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</si>
  <si>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</si>
  <si>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</si>
  <si>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</si>
  <si>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</si>
  <si>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</si>
  <si>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</si>
  <si>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</si>
  <si>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</si>
  <si>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</si>
  <si>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</si>
  <si>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</si>
  <si>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</si>
  <si>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</si>
  <si>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</si>
  <si>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</si>
  <si>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</si>
  <si>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</si>
  <si>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</si>
  <si>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</si>
  <si>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</si>
  <si>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</si>
  <si>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</si>
  <si>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</si>
  <si>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</si>
  <si>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</si>
  <si>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</si>
  <si>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</si>
  <si>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</si>
  <si>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</si>
  <si>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</si>
  <si>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</si>
  <si>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</si>
  <si>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</si>
  <si>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</si>
  <si>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</si>
  <si>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</si>
  <si>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</si>
  <si>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</si>
  <si>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</si>
  <si>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</si>
  <si>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</si>
  <si>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</si>
  <si>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</si>
  <si>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</si>
  <si>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</si>
  <si>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</si>
  <si>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</si>
  <si>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</si>
  <si>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</si>
  <si>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</si>
  <si>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</si>
  <si>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</si>
  <si>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</si>
  <si>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</si>
  <si>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</si>
  <si>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</si>
  <si>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</si>
  <si>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</si>
  <si>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</si>
  <si>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</si>
  <si>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</si>
  <si>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</si>
  <si>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</si>
  <si>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</si>
  <si>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</si>
  <si>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</si>
  <si>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</si>
  <si>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</si>
  <si>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</si>
  <si>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</si>
  <si>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</si>
  <si>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</si>
  <si>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</si>
  <si>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</si>
  <si>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</si>
  <si>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</si>
  <si>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</si>
  <si>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</si>
  <si>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</si>
  <si>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</si>
  <si>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</si>
  <si>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</si>
  <si>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</si>
  <si>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</si>
  <si>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</si>
  <si>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</si>
  <si>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</si>
  <si>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</si>
  <si>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</si>
  <si>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</si>
  <si>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</si>
  <si>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</si>
  <si>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</si>
  <si>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</si>
  <si>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</si>
  <si>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</si>
  <si>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</si>
  <si>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</si>
  <si>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</si>
  <si>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</si>
  <si>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</si>
  <si>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</si>
  <si>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</si>
  <si>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</si>
  <si>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</si>
  <si>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</si>
  <si>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</si>
  <si>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</si>
  <si>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</si>
  <si>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</si>
  <si>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</si>
  <si>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</si>
  <si>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</si>
  <si>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</si>
  <si>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</si>
  <si>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</si>
  <si>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</si>
  <si>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</si>
  <si>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</si>
  <si>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</si>
  <si>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</si>
  <si>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</si>
  <si>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</si>
  <si>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</si>
  <si>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</si>
  <si>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</si>
  <si>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</si>
  <si>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</si>
  <si>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</si>
  <si>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</si>
  <si>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</si>
  <si>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</si>
  <si>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</si>
  <si>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</si>
  <si>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</si>
  <si>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</si>
  <si>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</si>
  <si>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</si>
  <si>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</si>
  <si>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</si>
  <si>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</si>
  <si>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</si>
  <si>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</si>
  <si>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</si>
  <si>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</si>
  <si>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</si>
  <si>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</si>
  <si>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</si>
  <si>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</si>
  <si>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</si>
  <si>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</si>
  <si>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</si>
  <si>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</si>
  <si>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</si>
  <si>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</si>
  <si>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</si>
  <si>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</si>
  <si>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</si>
  <si>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</si>
  <si>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</si>
  <si>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</si>
  <si>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</si>
  <si>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</si>
  <si>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</si>
  <si>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</si>
  <si>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</si>
  <si>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</si>
  <si>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</si>
  <si>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</si>
  <si>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</si>
  <si>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</si>
  <si>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</si>
  <si>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</si>
  <si>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</si>
  <si>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</si>
  <si>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</si>
  <si>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</si>
  <si>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</si>
  <si>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</si>
  <si>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</si>
  <si>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</si>
  <si>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</si>
  <si>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</si>
  <si>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</si>
  <si>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</si>
  <si>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</si>
  <si>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</si>
  <si>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</si>
  <si>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</si>
  <si>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</si>
  <si>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</si>
  <si>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</si>
  <si>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</si>
  <si>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</si>
  <si>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</si>
  <si>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</si>
  <si>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</si>
  <si>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</si>
  <si>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</si>
  <si>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</si>
  <si>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</si>
  <si>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</si>
  <si>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</si>
  <si>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</si>
  <si>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</si>
  <si>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</si>
  <si>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</si>
  <si>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</si>
  <si>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</si>
  <si>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</si>
  <si>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</si>
  <si>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</si>
  <si>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</si>
  <si>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</si>
  <si>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</si>
  <si>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</si>
  <si>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</si>
  <si>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</si>
  <si>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</si>
  <si>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</si>
  <si>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</si>
  <si>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</si>
  <si>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</si>
  <si>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</si>
  <si>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</si>
  <si>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</si>
  <si>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</si>
  <si>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</si>
  <si>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</si>
  <si>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</si>
  <si>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</si>
  <si>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</si>
  <si>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</si>
  <si>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</si>
  <si>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</si>
  <si>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</si>
  <si>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</si>
  <si>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</si>
  <si>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</si>
  <si>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</si>
  <si>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</si>
  <si>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</si>
  <si>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</si>
  <si>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</si>
  <si>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</si>
  <si>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</si>
  <si>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</si>
  <si>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</si>
  <si>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</si>
  <si>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</si>
  <si>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</si>
  <si>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</si>
  <si>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</si>
  <si>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</si>
  <si>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</si>
  <si>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</si>
  <si>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</si>
  <si>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</si>
  <si>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</si>
  <si>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</si>
  <si>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</si>
  <si>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</si>
  <si>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</si>
  <si>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</si>
  <si>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</si>
  <si>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</si>
  <si>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</si>
  <si>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</si>
  <si>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</si>
  <si>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</si>
  <si>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</si>
  <si>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</si>
  <si>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</si>
  <si>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</si>
  <si>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</si>
  <si>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</si>
  <si>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</si>
  <si>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</si>
  <si>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</si>
  <si>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</si>
  <si>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</si>
  <si>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</si>
  <si>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</si>
  <si>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</si>
  <si>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</si>
  <si>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</si>
  <si>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</si>
  <si>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</si>
  <si>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</si>
  <si>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</si>
  <si>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</si>
  <si>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</si>
  <si>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</si>
  <si>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</si>
  <si>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</si>
  <si>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</si>
  <si>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</si>
  <si>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</si>
  <si>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</si>
  <si>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</si>
  <si>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</si>
  <si>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</si>
  <si>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</si>
  <si>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</si>
  <si>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</si>
  <si>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</si>
  <si>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</si>
  <si>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</si>
  <si>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</si>
  <si>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</si>
  <si>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</si>
  <si>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</si>
  <si>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</si>
  <si>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</si>
  <si>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</si>
  <si>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</si>
  <si>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</si>
  <si>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</si>
  <si>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</si>
  <si>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</si>
  <si>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</si>
  <si>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</si>
  <si>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</si>
  <si>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</si>
  <si>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</si>
  <si>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</si>
  <si>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</si>
  <si>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</si>
  <si>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</si>
  <si>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</si>
  <si>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</si>
  <si>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</si>
  <si>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</si>
  <si>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</si>
  <si>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</si>
  <si>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</si>
  <si>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</si>
  <si>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</si>
  <si>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</si>
  <si>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</si>
  <si>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</si>
  <si>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</si>
  <si>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</si>
  <si>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</si>
  <si>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</si>
  <si>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</si>
  <si>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</si>
  <si>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</si>
  <si>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</si>
  <si>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</si>
  <si>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</si>
  <si>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</si>
  <si>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</si>
  <si>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</si>
  <si>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</si>
  <si>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</si>
  <si>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</si>
  <si>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</si>
  <si>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</si>
  <si>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</si>
  <si>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</si>
  <si>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</si>
  <si>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</si>
  <si>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</si>
  <si>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</si>
  <si>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</si>
  <si>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</si>
  <si>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</si>
  <si>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</si>
  <si>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</si>
  <si>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</si>
  <si>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</si>
  <si>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</si>
  <si>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</si>
  <si>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</si>
  <si>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</si>
  <si>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</si>
  <si>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</si>
  <si>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</si>
  <si>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</si>
  <si>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</si>
  <si>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</si>
  <si>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</si>
  <si>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</si>
  <si>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</si>
  <si>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</si>
  <si>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</si>
  <si>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</si>
  <si>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</si>
  <si>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</si>
  <si>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</si>
  <si>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</si>
  <si>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</si>
  <si>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</si>
  <si>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</si>
  <si>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</si>
  <si>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</si>
  <si>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</si>
  <si>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</si>
  <si>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</si>
  <si>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</si>
  <si>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</si>
  <si>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</si>
  <si>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</si>
  <si>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</si>
  <si>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</si>
  <si>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</si>
  <si>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</si>
  <si>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</si>
  <si>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</si>
  <si>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</si>
  <si>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</si>
  <si>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</si>
  <si>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</si>
  <si>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</si>
  <si>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</si>
  <si>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</si>
  <si>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</si>
  <si>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</si>
  <si>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</si>
  <si>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</si>
  <si>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</si>
  <si>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</si>
  <si>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</si>
  <si>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</si>
  <si>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</si>
  <si>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</si>
  <si>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</si>
  <si>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</si>
  <si>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</si>
  <si>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</si>
  <si>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</si>
  <si>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</si>
  <si>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</si>
  <si>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</si>
  <si>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</si>
  <si>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</si>
  <si>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</si>
  <si>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</si>
  <si>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</si>
  <si>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</si>
  <si>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</si>
  <si>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</si>
  <si>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</si>
  <si>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</si>
  <si>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</si>
  <si>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</si>
  <si>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</si>
  <si>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</si>
  <si>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</si>
  <si>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</si>
  <si>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</si>
  <si>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</si>
  <si>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</si>
  <si>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</si>
  <si>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</si>
  <si>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</si>
  <si>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</si>
  <si>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</si>
  <si>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</si>
  <si>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</si>
  <si>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</si>
  <si>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</si>
  <si>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</si>
  <si>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</si>
  <si>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</si>
  <si>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</si>
  <si>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</si>
  <si>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</si>
  <si>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</si>
  <si>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</si>
  <si>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</si>
  <si>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</si>
  <si>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</si>
  <si>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</si>
  <si>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</si>
  <si>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</si>
  <si>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</si>
  <si>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</si>
  <si>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</si>
  <si>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</si>
  <si>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</si>
  <si>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</si>
  <si>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</si>
  <si>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</si>
  <si>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</si>
  <si>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</si>
  <si>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</si>
  <si>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</si>
  <si>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</si>
  <si>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</si>
  <si>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</si>
  <si>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</si>
  <si>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</si>
  <si>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</si>
  <si>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</si>
  <si>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</si>
  <si>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</si>
  <si>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</si>
  <si>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</si>
  <si>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</si>
  <si>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</si>
  <si>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</si>
  <si>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</si>
  <si>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</si>
  <si>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</si>
  <si>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</si>
  <si>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</si>
  <si>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</si>
  <si>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</si>
  <si>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</si>
  <si>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</si>
  <si>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</si>
  <si>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</si>
  <si>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</si>
  <si>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</si>
  <si>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</si>
  <si>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</si>
  <si>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</si>
  <si>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</si>
  <si>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</si>
  <si>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</si>
  <si>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</si>
  <si>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</si>
  <si>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</si>
  <si>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</si>
  <si>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</si>
  <si>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</si>
  <si>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</si>
  <si>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</si>
  <si>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</si>
  <si>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</si>
  <si>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</si>
  <si>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</si>
  <si>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</si>
  <si>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</si>
  <si>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</si>
  <si>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</si>
  <si>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</si>
  <si>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</si>
  <si>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</si>
  <si>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</si>
  <si>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</si>
  <si>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</si>
  <si>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</si>
  <si>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</si>
  <si>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</si>
  <si>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</si>
  <si>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</si>
  <si>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</si>
  <si>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</si>
  <si>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</si>
  <si>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</si>
  <si>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</si>
  <si>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</si>
  <si>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</si>
  <si>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</si>
  <si>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</si>
  <si>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</si>
  <si>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</si>
  <si>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</si>
  <si>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</si>
  <si>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</si>
  <si>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</si>
  <si>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</si>
  <si>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</si>
  <si>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</si>
  <si>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</si>
  <si>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</si>
  <si>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</si>
  <si>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</si>
  <si>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</si>
  <si>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</si>
  <si>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</si>
  <si>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</si>
  <si>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</si>
  <si>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</si>
  <si>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</si>
  <si>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</si>
  <si>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</si>
  <si>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</si>
  <si>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</si>
  <si>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</si>
  <si>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</si>
  <si>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</si>
  <si>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</si>
  <si>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</si>
  <si>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</si>
  <si>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</si>
  <si>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</si>
  <si>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</si>
  <si>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</si>
  <si>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</si>
  <si>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</si>
  <si>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</si>
  <si>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</si>
  <si>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</si>
  <si>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</si>
  <si>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</si>
  <si>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</si>
  <si>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</si>
  <si>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</si>
  <si>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</si>
  <si>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</si>
  <si>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</si>
  <si>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</si>
  <si>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</si>
  <si>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</si>
  <si>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</si>
  <si>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</si>
  <si>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</si>
  <si>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</si>
  <si>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</si>
  <si>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</si>
  <si>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</si>
  <si>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</si>
  <si>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</si>
  <si>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</si>
  <si>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</si>
  <si>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</si>
  <si>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</si>
  <si>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</si>
  <si>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</si>
  <si>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</si>
  <si>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</si>
  <si>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</si>
  <si>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</si>
  <si>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</si>
  <si>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</si>
  <si>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</si>
  <si>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</si>
  <si>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</si>
  <si>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</si>
  <si>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</si>
  <si>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</si>
  <si>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</si>
  <si>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</si>
  <si>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</si>
  <si>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</si>
  <si>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</si>
  <si>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</si>
  <si>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</si>
  <si>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</si>
  <si>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</si>
  <si>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</si>
  <si>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</si>
  <si>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</si>
  <si>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</si>
  <si>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</si>
  <si>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</si>
  <si>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</si>
  <si>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</si>
  <si>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</si>
  <si>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</si>
  <si>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</si>
  <si>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</si>
  <si>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</si>
  <si>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</si>
  <si>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</si>
  <si>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</si>
  <si>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</si>
  <si>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</si>
  <si>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</si>
  <si>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</si>
  <si>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</si>
  <si>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</si>
  <si>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</si>
  <si>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</si>
  <si>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</si>
  <si>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</si>
  <si>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</si>
  <si>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</si>
  <si>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</si>
  <si>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</si>
  <si>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</si>
  <si>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</si>
  <si>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</si>
  <si>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</si>
  <si>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</si>
  <si>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</si>
  <si>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</si>
  <si>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</si>
  <si>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</si>
  <si>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</si>
  <si>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</si>
  <si>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</si>
  <si>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</si>
  <si>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</si>
  <si>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</si>
  <si>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</si>
  <si>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</si>
  <si>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</si>
  <si>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</si>
  <si>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</si>
  <si>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</si>
  <si>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</si>
  <si>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</si>
  <si>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</si>
  <si>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</si>
  <si>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</si>
  <si>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</si>
  <si>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</si>
  <si>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</si>
  <si>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</si>
  <si>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</si>
  <si>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</si>
  <si>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</si>
  <si>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</si>
  <si>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</si>
  <si>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</si>
  <si>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</si>
  <si>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</si>
  <si>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</si>
  <si>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</si>
  <si>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</si>
  <si>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</si>
  <si>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</si>
  <si>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</si>
  <si>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</si>
  <si>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</si>
  <si>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</si>
  <si>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</si>
  <si>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</si>
  <si>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</si>
  <si>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</si>
  <si>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</si>
  <si>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</si>
  <si>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</si>
  <si>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</si>
  <si>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</si>
  <si>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</si>
  <si>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</si>
  <si>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</si>
  <si>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</si>
  <si>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</si>
  <si>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</si>
  <si>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</si>
  <si>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</si>
  <si>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</si>
  <si>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</si>
  <si>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</si>
  <si>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</si>
  <si>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</si>
  <si>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</si>
  <si>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</si>
  <si>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</si>
  <si>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</si>
  <si>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</si>
  <si>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</si>
  <si>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</si>
  <si>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</si>
  <si>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</si>
  <si>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</si>
  <si>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</si>
  <si>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</si>
  <si>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</si>
  <si>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</si>
  <si>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</si>
  <si>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</si>
  <si>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</si>
  <si>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</si>
  <si>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</si>
  <si>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</si>
  <si>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</si>
  <si>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</si>
  <si>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</si>
  <si>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</si>
  <si>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</si>
  <si>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</si>
  <si>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</si>
  <si>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</si>
  <si>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</si>
  <si>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</si>
  <si>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</si>
  <si>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</si>
  <si>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</si>
  <si>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</si>
  <si>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</si>
  <si>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</si>
  <si>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</si>
  <si>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</si>
  <si>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</si>
  <si>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</si>
  <si>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</si>
  <si>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</si>
  <si>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</si>
  <si>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</si>
  <si>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</si>
  <si>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</si>
  <si>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</si>
  <si>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</si>
  <si>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</si>
  <si>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</si>
  <si>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</si>
  <si>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</si>
  <si>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</si>
  <si>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</si>
  <si>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</si>
  <si>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</si>
  <si>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</si>
  <si>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</si>
  <si>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</si>
  <si>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</si>
  <si>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</si>
  <si>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</si>
  <si>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</si>
  <si>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</si>
  <si>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</si>
  <si>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</si>
  <si>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</si>
  <si>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</si>
  <si>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</si>
  <si>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</si>
  <si>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</si>
  <si>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</si>
  <si>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</si>
  <si>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</si>
  <si>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</si>
  <si>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</si>
  <si>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</si>
  <si>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</si>
  <si>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</si>
  <si>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</si>
  <si>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</si>
  <si>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</si>
  <si>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</si>
  <si>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</si>
  <si>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</si>
  <si>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</si>
  <si>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</si>
  <si>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</si>
  <si>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</si>
  <si>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</si>
  <si>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</si>
  <si>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</si>
  <si>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</si>
  <si>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</si>
  <si>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</si>
  <si>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</si>
  <si>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</si>
  <si>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</si>
  <si>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</si>
  <si>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</si>
  <si>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</si>
  <si>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</si>
  <si>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</si>
  <si>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</si>
  <si>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</si>
  <si>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</si>
  <si>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</si>
  <si>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</si>
  <si>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</si>
  <si>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</si>
  <si>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</si>
  <si>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</si>
  <si>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</si>
  <si>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</si>
  <si>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</si>
  <si>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</si>
  <si>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</si>
  <si>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</si>
  <si>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</si>
  <si>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</si>
  <si>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</si>
  <si>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</si>
  <si>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</si>
  <si>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</si>
  <si>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</si>
  <si>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</si>
  <si>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</si>
  <si>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</si>
  <si>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</si>
  <si>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</si>
  <si>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</si>
  <si>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</si>
  <si>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</si>
  <si>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</si>
  <si>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</si>
  <si>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</si>
  <si>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</si>
  <si>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</si>
  <si>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</si>
  <si>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</si>
  <si>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</si>
  <si>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</si>
  <si>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</si>
  <si>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</si>
  <si>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</si>
  <si>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</si>
  <si>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</si>
  <si>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</si>
  <si>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</si>
  <si>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</si>
  <si>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</si>
  <si>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</si>
  <si>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</si>
  <si>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</si>
  <si>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</si>
  <si>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</si>
  <si>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</si>
  <si>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</si>
  <si>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</si>
  <si>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</si>
  <si>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</si>
  <si>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</si>
  <si>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</si>
  <si>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</si>
  <si>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</si>
  <si>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</si>
  <si>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</si>
  <si>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</si>
  <si>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</si>
  <si>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</si>
  <si>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</si>
  <si>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</si>
  <si>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</si>
  <si>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</si>
  <si>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</si>
  <si>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</si>
  <si>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</si>
  <si>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</si>
  <si>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</si>
  <si>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</si>
  <si>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</si>
  <si>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</si>
  <si>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</si>
  <si>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</si>
  <si>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</si>
  <si>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</si>
  <si>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</si>
  <si>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</si>
  <si>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</si>
  <si>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</si>
  <si>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</si>
  <si>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</si>
  <si>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</si>
  <si>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</si>
  <si>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</si>
  <si>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</si>
  <si>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</si>
  <si>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</si>
  <si>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</si>
  <si>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</si>
  <si>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</si>
  <si>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</si>
  <si>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</si>
  <si>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</si>
  <si>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</si>
  <si>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</si>
  <si>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</si>
  <si>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</si>
  <si>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</si>
  <si>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</si>
  <si>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</si>
  <si>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</si>
  <si>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</si>
  <si>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</si>
  <si>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</si>
  <si>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</si>
  <si>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</si>
  <si>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</si>
  <si>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</si>
  <si>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</si>
  <si>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</si>
  <si>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</si>
  <si>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</si>
  <si>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</si>
  <si>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</si>
  <si>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</si>
  <si>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</si>
  <si>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</si>
  <si>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</si>
  <si>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</si>
  <si>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</si>
  <si>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</si>
  <si>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</si>
  <si>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</si>
  <si>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</si>
  <si>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</si>
  <si>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</si>
  <si>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</si>
  <si>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</si>
  <si>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</si>
  <si>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</si>
  <si>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</si>
  <si>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</si>
  <si>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</si>
  <si>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</si>
  <si>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</si>
  <si>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</si>
  <si>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</si>
  <si>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</si>
  <si>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</si>
  <si>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</si>
  <si>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</si>
  <si>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</si>
  <si>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</si>
  <si>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</si>
  <si>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</si>
  <si>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</si>
  <si>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</si>
  <si>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</si>
  <si>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</si>
  <si>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</si>
  <si>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</si>
  <si>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</si>
  <si>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</si>
  <si>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</si>
  <si>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</si>
  <si>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</si>
  <si>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</si>
  <si>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</si>
  <si>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</si>
  <si>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</si>
  <si>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</si>
  <si>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</si>
  <si>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</si>
  <si>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</si>
  <si>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</si>
  <si>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</si>
  <si>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</si>
  <si>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</si>
  <si>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</si>
  <si>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</si>
  <si>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</si>
  <si>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</si>
  <si>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</si>
  <si>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</si>
  <si>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</si>
  <si>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</si>
  <si>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</si>
  <si>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</si>
  <si>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</si>
  <si>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</si>
  <si>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</si>
  <si>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</si>
  <si>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</si>
  <si>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</si>
  <si>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</si>
  <si>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</si>
  <si>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</si>
  <si>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</si>
  <si>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</si>
  <si>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</si>
  <si>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</si>
  <si>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</si>
  <si>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</si>
  <si>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</si>
  <si>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</si>
  <si>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</si>
  <si>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</si>
  <si>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</si>
  <si>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</si>
  <si>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</si>
  <si>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</si>
  <si>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</si>
  <si>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</si>
  <si>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</si>
  <si>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</si>
  <si>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</si>
  <si>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</si>
  <si>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</si>
  <si>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</si>
  <si>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</si>
  <si>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</si>
  <si>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</si>
  <si>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</si>
  <si>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</si>
  <si>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</si>
  <si>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</si>
  <si>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</si>
  <si>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</si>
  <si>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</si>
  <si>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</si>
  <si>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</si>
  <si>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</si>
  <si>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</si>
  <si>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</si>
  <si>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</si>
  <si>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</si>
  <si>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</si>
  <si>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</si>
  <si>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</si>
  <si>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</si>
  <si>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</si>
  <si>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</si>
  <si>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</si>
  <si>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</si>
  <si>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</si>
  <si>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</si>
  <si>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</si>
  <si>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</si>
  <si>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</si>
  <si>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</si>
  <si>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</si>
  <si>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</si>
  <si>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</si>
  <si>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</si>
  <si>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</si>
  <si>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</si>
  <si>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</si>
  <si>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</si>
  <si>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</si>
  <si>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</si>
  <si>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</si>
  <si>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</si>
  <si>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</si>
  <si>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</si>
  <si>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</si>
  <si>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</si>
  <si>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</si>
  <si>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</si>
  <si>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</si>
  <si>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</si>
  <si>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</si>
  <si>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</si>
  <si>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</si>
  <si>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</si>
  <si>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</si>
  <si>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</si>
  <si>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</si>
  <si>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</si>
  <si>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</si>
  <si>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</si>
  <si>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</si>
  <si>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</si>
  <si>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</si>
  <si>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</si>
  <si>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</si>
  <si>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</si>
  <si>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</si>
  <si>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</si>
  <si>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</si>
  <si>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</si>
  <si>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</si>
  <si>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</si>
  <si>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</si>
  <si>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</si>
  <si>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</si>
  <si>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</si>
  <si>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</si>
  <si>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</si>
  <si>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</si>
  <si>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</si>
  <si>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</si>
  <si>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</si>
  <si>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</si>
  <si>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</si>
  <si>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</si>
  <si>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</si>
  <si>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</si>
  <si>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</si>
  <si>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</si>
  <si>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</si>
  <si>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</si>
  <si>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</si>
  <si>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</si>
  <si>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</si>
  <si>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</si>
  <si>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</si>
  <si>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</si>
  <si>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</si>
  <si>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</si>
  <si>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</si>
  <si>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</si>
  <si>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</si>
  <si>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</si>
  <si>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</si>
  <si>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</si>
  <si>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</si>
  <si>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</si>
  <si>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</si>
  <si>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</si>
  <si>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</si>
  <si>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</si>
  <si>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</si>
  <si>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</si>
  <si>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</si>
  <si>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</si>
  <si>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</si>
  <si>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</si>
  <si>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</si>
  <si>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</si>
  <si>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</si>
  <si>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</si>
  <si>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</si>
  <si>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</si>
  <si>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</si>
  <si>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</si>
  <si>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</si>
  <si>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</si>
  <si>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</si>
  <si>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</si>
  <si>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</si>
  <si>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</si>
  <si>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</si>
  <si>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</si>
  <si>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</si>
  <si>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</si>
  <si>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</si>
  <si>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</si>
  <si>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</si>
  <si>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</si>
  <si>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</si>
  <si>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</si>
  <si>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</si>
  <si>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</si>
  <si>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</si>
  <si>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</si>
  <si>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</si>
  <si>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</si>
  <si>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</si>
  <si>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</si>
  <si>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</si>
  <si>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</si>
  <si>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</si>
  <si>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</si>
  <si>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</si>
  <si>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</si>
  <si>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</si>
  <si>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</si>
  <si>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</si>
  <si>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</si>
  <si>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</si>
  <si>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</si>
  <si>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</si>
  <si>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</si>
  <si>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</si>
  <si>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</si>
  <si>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</si>
  <si>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</si>
  <si>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</si>
  <si>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</si>
  <si>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</si>
  <si>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</si>
  <si>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</si>
  <si>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</si>
  <si>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</si>
  <si>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</si>
  <si>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</si>
  <si>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</si>
  <si>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</si>
  <si>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</si>
  <si>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</si>
  <si>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</si>
  <si>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</si>
  <si>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</si>
  <si>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</si>
  <si>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</si>
  <si>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</si>
  <si>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</si>
  <si>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</si>
  <si>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</si>
  <si>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</si>
  <si>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</si>
  <si>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</si>
  <si>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</si>
  <si>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</si>
  <si>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</si>
  <si>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</si>
  <si>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</si>
  <si>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</si>
  <si>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</si>
  <si>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</si>
  <si>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</si>
  <si>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</si>
  <si>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</si>
  <si>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</si>
  <si>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</si>
  <si>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</si>
  <si>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</si>
  <si>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</si>
  <si>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</si>
  <si>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</si>
  <si>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</si>
  <si>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</si>
  <si>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</si>
  <si>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</si>
  <si>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</si>
  <si>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</si>
  <si>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</si>
  <si>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</si>
  <si>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</si>
  <si>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</si>
  <si>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</si>
  <si>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</si>
  <si>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</si>
  <si>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</si>
  <si>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</si>
  <si>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</si>
  <si>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</si>
  <si>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</si>
  <si>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</si>
  <si>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</si>
  <si>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</si>
  <si>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</si>
  <si>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</si>
  <si>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</si>
  <si>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</si>
  <si>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</si>
  <si>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</si>
  <si>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</si>
  <si>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</si>
  <si>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</si>
  <si>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</si>
  <si>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</si>
  <si>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</si>
  <si>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</si>
  <si>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</si>
  <si>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</si>
  <si>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</si>
  <si>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</si>
  <si>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</si>
  <si>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</si>
  <si>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</si>
  <si>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</si>
  <si>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</si>
  <si>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</si>
  <si>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</si>
  <si>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</si>
  <si>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</si>
  <si>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</si>
  <si>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</si>
  <si>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</si>
  <si>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</si>
  <si>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</si>
  <si>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</si>
  <si>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</si>
  <si>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</si>
  <si>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</si>
  <si>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</si>
  <si>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</si>
  <si>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</si>
  <si>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</si>
  <si>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</si>
  <si>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</si>
  <si>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</si>
  <si>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</si>
  <si>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</si>
  <si>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</si>
  <si>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</si>
  <si>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</si>
  <si>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</si>
  <si>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</si>
  <si>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</si>
  <si>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</si>
  <si>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</si>
  <si>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</si>
  <si>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</si>
  <si>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</si>
  <si>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</si>
  <si>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</si>
  <si>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</si>
  <si>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</si>
  <si>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</si>
  <si>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</si>
  <si>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</si>
  <si>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</si>
  <si>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</si>
  <si>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</si>
  <si>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</si>
  <si>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</si>
  <si>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</si>
  <si>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</si>
  <si>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</si>
  <si>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</si>
  <si>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</si>
  <si>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</si>
  <si>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</si>
  <si>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</si>
  <si>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</si>
  <si>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</si>
  <si>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</si>
  <si>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</si>
  <si>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</si>
  <si>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</si>
  <si>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</si>
  <si>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</si>
  <si>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</si>
  <si>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</si>
  <si>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</si>
  <si>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</si>
  <si>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</si>
  <si>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</si>
  <si>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</si>
  <si>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</si>
  <si>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</si>
  <si>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</si>
  <si>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</si>
  <si>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</si>
  <si>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</si>
  <si>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</si>
  <si>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</si>
  <si>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</si>
  <si>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</si>
  <si>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</si>
  <si>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</si>
  <si>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</si>
  <si>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</si>
  <si>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</si>
  <si>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</si>
  <si>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</si>
  <si>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</si>
  <si>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</si>
  <si>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</si>
  <si>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</si>
  <si>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</si>
  <si>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</si>
  <si>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</si>
  <si>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</si>
  <si>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</si>
  <si>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</si>
  <si>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</si>
  <si>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</si>
  <si>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</si>
  <si>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</si>
  <si>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</si>
  <si>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</si>
  <si>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</si>
  <si>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</si>
  <si>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</si>
  <si>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</si>
  <si>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</si>
  <si>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</si>
  <si>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</si>
  <si>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</si>
  <si>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</si>
  <si>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</si>
  <si>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</si>
  <si>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</si>
  <si>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</si>
  <si>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</si>
  <si>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</si>
  <si>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</si>
  <si>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</si>
  <si>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</si>
  <si>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</si>
  <si>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</si>
  <si>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</si>
  <si>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</si>
  <si>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</si>
  <si>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</si>
  <si>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</si>
  <si>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</si>
  <si>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</si>
  <si>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</si>
  <si>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</si>
  <si>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</si>
  <si>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</si>
  <si>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</si>
  <si>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</si>
  <si>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</si>
  <si>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</si>
  <si>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</si>
  <si>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</si>
  <si>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</si>
  <si>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</si>
  <si>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</si>
  <si>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</si>
  <si>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</si>
  <si>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</si>
  <si>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</si>
  <si>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</si>
  <si>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</si>
  <si>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</si>
  <si>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</si>
  <si>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</si>
  <si>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</si>
  <si>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</si>
  <si>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</si>
  <si>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</si>
  <si>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</si>
  <si>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</si>
  <si>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</si>
  <si>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</si>
  <si>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</si>
  <si>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</si>
  <si>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</si>
  <si>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</si>
  <si>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</si>
  <si>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</si>
  <si>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</si>
  <si>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</si>
  <si>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</si>
  <si>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</si>
  <si>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</si>
  <si>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</si>
  <si>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</si>
  <si>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</si>
  <si>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</si>
  <si>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</si>
  <si>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</si>
  <si>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</si>
  <si>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</si>
  <si>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</si>
  <si>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</si>
  <si>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</si>
  <si>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</si>
  <si>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</si>
  <si>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</si>
  <si>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</si>
  <si>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</si>
  <si>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</si>
  <si>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</si>
  <si>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</si>
  <si>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</si>
  <si>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</si>
  <si>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</si>
  <si>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</si>
  <si>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</si>
  <si>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</si>
  <si>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</si>
  <si>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</si>
  <si>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</si>
  <si>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</si>
  <si>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</si>
  <si>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</si>
  <si>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</si>
  <si>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</si>
  <si>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</si>
  <si>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</si>
  <si>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</si>
  <si>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</si>
  <si>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</si>
  <si>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</si>
  <si>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</si>
  <si>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</si>
  <si>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</si>
  <si>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</si>
  <si>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</si>
  <si>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</si>
  <si>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</si>
  <si>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</si>
  <si>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</si>
  <si>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</si>
  <si>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</si>
  <si>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</si>
  <si>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</si>
  <si>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</si>
  <si>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</si>
  <si>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</si>
  <si>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</si>
  <si>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</si>
  <si>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</si>
  <si>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</si>
  <si>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</si>
  <si>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</si>
  <si>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</si>
  <si>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</si>
  <si>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</si>
  <si>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</si>
  <si>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</si>
  <si>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</si>
  <si>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</si>
  <si>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</si>
  <si>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</si>
  <si>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</si>
  <si>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</si>
  <si>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</si>
  <si>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</si>
  <si>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</si>
  <si>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</si>
  <si>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</si>
  <si>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</si>
  <si>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</si>
  <si>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</si>
  <si>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</si>
  <si>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</si>
  <si>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</si>
  <si>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</si>
  <si>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</si>
  <si>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</si>
  <si>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</si>
  <si>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</si>
  <si>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</si>
  <si>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</si>
  <si>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</si>
  <si>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</si>
  <si>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</si>
  <si>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</si>
  <si>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</si>
  <si>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</si>
  <si>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</si>
  <si>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</si>
  <si>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</si>
  <si>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</si>
  <si>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</si>
  <si>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</si>
  <si>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</si>
  <si>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</si>
  <si>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</si>
  <si>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</si>
  <si>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</si>
  <si>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</si>
  <si>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</si>
  <si>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</si>
  <si>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</si>
  <si>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</si>
  <si>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</si>
  <si>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</si>
  <si>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</si>
  <si>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</si>
  <si>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</si>
  <si>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</si>
  <si>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</si>
  <si>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</si>
  <si>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</si>
  <si>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</si>
  <si>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</si>
  <si>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</si>
  <si>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</si>
  <si>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</si>
  <si>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</si>
  <si>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</si>
  <si>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</si>
  <si>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</si>
  <si>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</si>
  <si>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</si>
  <si>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</si>
  <si>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</si>
  <si>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</si>
  <si>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</si>
  <si>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</si>
  <si>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</si>
  <si>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</si>
  <si>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</si>
  <si>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</si>
  <si>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</si>
  <si>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</si>
  <si>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</si>
  <si>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</si>
  <si>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</si>
  <si>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</si>
  <si>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</si>
  <si>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</si>
  <si>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</si>
  <si>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</si>
  <si>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</si>
  <si>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</si>
  <si>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</si>
  <si>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</si>
  <si>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</si>
  <si>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</si>
  <si>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</si>
  <si>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</si>
  <si>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</si>
  <si>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</si>
  <si>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</si>
  <si>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</si>
  <si>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</si>
  <si>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</si>
  <si>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</si>
  <si>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</si>
  <si>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</si>
  <si>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</si>
  <si>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</si>
  <si>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</si>
  <si>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</si>
  <si>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</si>
  <si>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</si>
  <si>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</si>
  <si>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</si>
  <si>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</si>
  <si>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</si>
  <si>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</si>
  <si>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</si>
  <si>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</si>
  <si>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</si>
  <si>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</si>
  <si>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</si>
  <si>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</si>
  <si>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</si>
  <si>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</si>
  <si>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</si>
  <si>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</si>
  <si>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</si>
  <si>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</si>
  <si>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</si>
  <si>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</si>
  <si>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</si>
  <si>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</si>
  <si>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</si>
  <si>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</si>
  <si>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</si>
  <si>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</si>
  <si>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</si>
  <si>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</si>
  <si>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</si>
  <si>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</si>
  <si>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</si>
  <si>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</si>
  <si>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</si>
  <si>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</si>
  <si>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</si>
  <si>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</si>
  <si>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</si>
  <si>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</si>
  <si>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</si>
  <si>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</si>
  <si>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</si>
  <si>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</si>
  <si>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</si>
  <si>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</si>
  <si>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</si>
  <si>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</si>
  <si>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</si>
  <si>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</si>
  <si>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</si>
  <si>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</si>
  <si>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</si>
  <si>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</si>
  <si>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</si>
  <si>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</si>
  <si>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</si>
  <si>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</si>
  <si>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</si>
  <si>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</si>
  <si>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</si>
  <si>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</si>
  <si>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</si>
  <si>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</si>
  <si>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</si>
  <si>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</si>
  <si>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</si>
  <si>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</si>
  <si>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</si>
  <si>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</si>
  <si>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</si>
  <si>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</si>
  <si>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</si>
  <si>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</si>
  <si>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</si>
  <si>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</si>
  <si>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</si>
  <si>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</si>
  <si>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</si>
  <si>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</si>
  <si>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</si>
  <si>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</si>
  <si>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</si>
  <si>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</si>
  <si>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</si>
  <si>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</si>
  <si>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</si>
  <si>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</si>
  <si>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</si>
  <si>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</si>
  <si>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</si>
  <si>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</si>
  <si>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</si>
  <si>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</si>
  <si>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</si>
  <si>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</si>
  <si>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</si>
  <si>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</si>
  <si>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</si>
  <si>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</si>
  <si>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</si>
  <si>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</si>
  <si>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</si>
  <si>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</si>
  <si>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</si>
  <si>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</si>
  <si>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</si>
  <si>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</si>
  <si>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</si>
  <si>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</si>
  <si>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</si>
  <si>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</si>
  <si>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</si>
  <si>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</si>
  <si>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</si>
  <si>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</si>
  <si>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</si>
  <si>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</si>
  <si>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</si>
  <si>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</si>
  <si>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</si>
  <si>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</si>
  <si>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</si>
  <si>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</si>
  <si>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</si>
  <si>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</si>
  <si>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</si>
  <si>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</si>
  <si>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</si>
  <si>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</si>
  <si>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</si>
  <si>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</si>
  <si>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</si>
  <si>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</si>
  <si>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</si>
  <si>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</si>
  <si>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</si>
  <si>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</si>
  <si>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</si>
  <si>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</si>
  <si>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</si>
  <si>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</si>
  <si>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</si>
  <si>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</si>
  <si>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</si>
  <si>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</si>
  <si>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</si>
  <si>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</si>
  <si>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</si>
  <si>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</si>
  <si>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</si>
  <si>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</si>
  <si>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</si>
  <si>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</si>
  <si>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</si>
  <si>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</si>
  <si>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</si>
  <si>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</si>
  <si>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</si>
  <si>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</si>
  <si>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</si>
  <si>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</si>
  <si>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</si>
  <si>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</si>
  <si>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</si>
  <si>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</si>
  <si>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</si>
  <si>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</si>
  <si>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</si>
  <si>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</si>
  <si>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</si>
  <si>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</si>
  <si>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</si>
  <si>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</si>
  <si>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</si>
  <si>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</si>
  <si>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</si>
  <si>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</si>
  <si>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</si>
  <si>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</si>
  <si>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</si>
  <si>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</si>
  <si>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</si>
  <si>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</si>
  <si>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</si>
  <si>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</si>
  <si>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</si>
  <si>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</si>
  <si>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</si>
  <si>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</si>
  <si>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</si>
  <si>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</si>
  <si>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</si>
  <si>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</si>
  <si>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</si>
  <si>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</si>
  <si>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</si>
  <si>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</si>
  <si>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</si>
  <si>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</si>
  <si>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</si>
  <si>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</si>
  <si>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</si>
  <si>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</si>
  <si>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</si>
  <si>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</si>
  <si>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</si>
  <si>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</si>
  <si>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</si>
  <si>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</si>
  <si>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</si>
  <si>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</si>
  <si>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</si>
  <si>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</si>
  <si>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</si>
  <si>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</si>
  <si>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</si>
  <si>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</si>
  <si>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</si>
  <si>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</si>
  <si>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</si>
  <si>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</si>
  <si>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</si>
  <si>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</si>
  <si>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</si>
  <si>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</si>
  <si>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</si>
  <si>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</si>
  <si>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</si>
  <si>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</si>
  <si>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</si>
  <si>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</si>
  <si>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</si>
  <si>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</si>
  <si>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</si>
  <si>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</si>
  <si>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</si>
  <si>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</si>
  <si>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</si>
  <si>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</si>
  <si>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</si>
  <si>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</si>
  <si>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</si>
  <si>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</si>
  <si>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</si>
  <si>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</si>
  <si>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</si>
  <si>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</si>
  <si>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</si>
  <si>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</si>
  <si>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</si>
  <si>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</si>
  <si>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</si>
  <si>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</si>
  <si>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</si>
  <si>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</si>
  <si>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</si>
  <si>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</si>
  <si>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</si>
  <si>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</si>
  <si>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</si>
  <si>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</si>
  <si>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</si>
  <si>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</si>
  <si>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</si>
  <si>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</si>
  <si>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</si>
  <si>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</si>
  <si>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</si>
  <si>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</si>
  <si>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</si>
  <si>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</si>
  <si>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</si>
  <si>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</si>
  <si>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</si>
  <si>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</si>
  <si>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</si>
  <si>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</si>
  <si>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</si>
  <si>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</si>
  <si>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</si>
  <si>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</si>
  <si>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</si>
  <si>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</si>
  <si>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</si>
  <si>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</si>
  <si>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</si>
  <si>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</si>
  <si>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</si>
  <si>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</si>
  <si>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</si>
  <si>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</si>
  <si>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</si>
  <si>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</si>
  <si>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</si>
  <si>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</si>
  <si>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</si>
  <si>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</si>
  <si>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</si>
  <si>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</si>
  <si>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</si>
  <si>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</si>
  <si>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</si>
  <si>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</si>
  <si>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</si>
  <si>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</si>
  <si>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</si>
  <si>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</si>
  <si>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</si>
  <si>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</si>
  <si>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</si>
  <si>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</si>
  <si>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</si>
  <si>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</si>
  <si>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</si>
  <si>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</si>
  <si>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</si>
  <si>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</si>
  <si>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</si>
  <si>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</si>
  <si>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</si>
  <si>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</si>
  <si>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</si>
  <si>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</si>
  <si>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</si>
  <si>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</si>
  <si>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</si>
  <si>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</si>
  <si>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</si>
  <si>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</si>
  <si>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</si>
  <si>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</si>
  <si>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</si>
  <si>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</si>
  <si>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</si>
  <si>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</si>
  <si>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</si>
  <si>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</si>
  <si>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</si>
  <si>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</si>
  <si>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</si>
  <si>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</si>
  <si>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</si>
  <si>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</si>
  <si>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</si>
  <si>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</si>
  <si>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</si>
  <si>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</si>
  <si>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</si>
  <si>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</si>
  <si>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</si>
  <si>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</si>
  <si>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</si>
  <si>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</si>
  <si>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</si>
  <si>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</si>
  <si>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</si>
  <si>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</si>
  <si>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</si>
  <si>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</si>
  <si>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</si>
  <si>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</si>
  <si>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</si>
  <si>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</si>
  <si>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</si>
  <si>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</si>
  <si>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</si>
  <si>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</si>
  <si>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</si>
  <si>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</si>
  <si>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</si>
  <si>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</si>
  <si>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</si>
  <si>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</si>
  <si>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</si>
  <si>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</si>
  <si>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</si>
  <si>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</si>
  <si>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</si>
  <si>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</si>
  <si>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</si>
  <si>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</si>
  <si>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</si>
  <si>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</si>
  <si>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</si>
  <si>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</si>
  <si>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</si>
  <si>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</si>
  <si>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</si>
  <si>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</si>
  <si>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</si>
  <si>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</si>
  <si>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</si>
  <si>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</si>
  <si>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</si>
  <si>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</si>
  <si>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</si>
  <si>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</si>
  <si>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</si>
  <si>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</si>
  <si>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</si>
  <si>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</si>
  <si>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</si>
  <si>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</si>
  <si>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</si>
  <si>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</si>
  <si>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</si>
  <si>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</si>
  <si>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</si>
  <si>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</si>
  <si>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</si>
  <si>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</si>
  <si>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</si>
  <si>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</si>
  <si>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</si>
  <si>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</si>
  <si>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</si>
  <si>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</si>
  <si>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</si>
  <si>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</si>
  <si>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</si>
  <si>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</si>
  <si>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</si>
  <si>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</si>
  <si>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</si>
  <si>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</si>
  <si>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</si>
  <si>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</si>
  <si>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</si>
  <si>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</si>
  <si>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</si>
  <si>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</si>
  <si>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</si>
  <si>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</si>
  <si>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</si>
  <si>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</si>
  <si>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</si>
  <si>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</si>
  <si>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</si>
  <si>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</si>
  <si>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</si>
  <si>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</si>
  <si>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</si>
  <si>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</si>
  <si>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</si>
  <si>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</si>
  <si>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</si>
  <si>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</si>
  <si>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</si>
  <si>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</si>
  <si>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</si>
  <si>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</si>
  <si>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</si>
  <si>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</si>
  <si>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</si>
  <si>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</si>
  <si>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</si>
  <si>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</si>
  <si>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</si>
  <si>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</si>
  <si>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</si>
  <si>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</si>
  <si>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</si>
  <si>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</si>
  <si>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</si>
  <si>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</si>
  <si>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</si>
  <si>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</si>
  <si>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</si>
  <si>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</si>
  <si>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</si>
  <si>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</si>
  <si>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</si>
  <si>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</si>
  <si>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</si>
  <si>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</si>
  <si>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</si>
  <si>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</si>
  <si>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</si>
  <si>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</si>
  <si>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</si>
  <si>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</si>
  <si>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</si>
  <si>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</si>
  <si>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</si>
  <si>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</si>
  <si>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</si>
  <si>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</si>
  <si>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</si>
  <si>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</si>
  <si>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</si>
  <si>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</si>
  <si>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</si>
  <si>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</si>
  <si>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</si>
  <si>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</si>
  <si>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</si>
  <si>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</si>
  <si>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</si>
  <si>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</si>
  <si>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</si>
  <si>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</si>
  <si>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</si>
  <si>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</si>
  <si>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</si>
  <si>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</si>
  <si>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</si>
  <si>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</si>
  <si>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</si>
  <si>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</si>
  <si>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</si>
  <si>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</si>
  <si>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</si>
  <si>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</si>
  <si>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</si>
  <si>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</si>
  <si>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</si>
  <si>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</si>
  <si>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</si>
  <si>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</si>
  <si>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</si>
  <si>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</si>
  <si>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</si>
  <si>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</si>
  <si>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</si>
  <si>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</si>
  <si>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</si>
  <si>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</si>
  <si>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</si>
  <si>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</si>
  <si>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</si>
  <si>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</si>
  <si>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</si>
  <si>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</si>
  <si>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</si>
  <si>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</si>
  <si>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</si>
  <si>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</si>
  <si>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</si>
  <si>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</si>
  <si>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</si>
  <si>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</si>
  <si>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</si>
  <si>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</si>
  <si>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</si>
  <si>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</si>
  <si>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</si>
  <si>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</si>
  <si>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</si>
  <si>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</si>
  <si>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</si>
  <si>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</si>
  <si>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</si>
  <si>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</si>
  <si>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</si>
  <si>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</si>
  <si>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</si>
  <si>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</si>
  <si>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</si>
  <si>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</si>
  <si>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</si>
  <si>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</si>
  <si>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</si>
  <si>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</si>
  <si>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</si>
  <si>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</si>
  <si>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</si>
  <si>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</si>
  <si>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</si>
  <si>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</si>
  <si>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</si>
  <si>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</si>
  <si>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</si>
  <si>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</si>
  <si>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</si>
  <si>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</si>
  <si>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</si>
  <si>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</si>
  <si>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</si>
  <si>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</si>
  <si>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</si>
  <si>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</si>
  <si>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</si>
  <si>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</si>
  <si>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</si>
  <si>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</si>
  <si>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</si>
  <si>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</si>
  <si>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</si>
  <si>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</si>
  <si>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</si>
  <si>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</si>
  <si>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</si>
  <si>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</si>
  <si>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</si>
  <si>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</si>
  <si>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</si>
  <si>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</si>
  <si>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</si>
  <si>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</si>
  <si>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</si>
  <si>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</si>
  <si>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</si>
  <si>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</si>
  <si>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</si>
  <si>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</si>
  <si>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</si>
  <si>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</si>
  <si>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</si>
  <si>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</si>
  <si>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</si>
  <si>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</si>
  <si>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</si>
  <si>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</si>
  <si>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</si>
  <si>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</si>
  <si>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</si>
  <si>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</si>
  <si>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</si>
  <si>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</si>
  <si>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</si>
  <si>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</si>
  <si>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</si>
  <si>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</si>
  <si>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</si>
  <si>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</si>
  <si>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</si>
  <si>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</si>
  <si>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</si>
  <si>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</si>
  <si>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</si>
  <si>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</si>
  <si>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</si>
  <si>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</si>
  <si>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</si>
  <si>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</si>
  <si>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</si>
  <si>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</si>
  <si>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</si>
  <si>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</si>
  <si>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</si>
  <si>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</si>
  <si>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</si>
  <si>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</si>
  <si>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</si>
  <si>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</si>
  <si>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</si>
  <si>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</si>
  <si>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</si>
  <si>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</si>
  <si>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</si>
  <si>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</si>
  <si>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</si>
  <si>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</si>
  <si>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2023-1</t>
    <phoneticPr fontId="4" type="noConversion"/>
  </si>
  <si>
    <t>2022-4</t>
    <phoneticPr fontId="4" type="noConversion"/>
  </si>
  <si>
    <t>自然人</t>
  </si>
  <si>
    <t>北京市</t>
  </si>
  <si>
    <t>住宅</t>
  </si>
  <si>
    <t>是</t>
  </si>
  <si>
    <t>地上</t>
  </si>
  <si>
    <t>住宅</t>
    <phoneticPr fontId="8" type="noConversion"/>
  </si>
  <si>
    <t>成新度</t>
  </si>
  <si>
    <t>利息：取LPR加浮动点数</t>
  </si>
  <si>
    <t>楼层</t>
    <phoneticPr fontId="25"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</si>
  <si>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</si>
  <si>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</si>
  <si>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</si>
  <si>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</si>
  <si>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</si>
  <si>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</si>
  <si>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</si>
  <si>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</si>
  <si>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</si>
  <si>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</si>
  <si>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</si>
  <si>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</si>
  <si>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</si>
  <si>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</si>
  <si>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</si>
  <si>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</si>
  <si>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</si>
  <si>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</si>
  <si>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</si>
  <si>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5" type="noConversion"/>
  </si>
  <si>
    <t>普通装修</t>
    <phoneticPr fontId="25" type="noConversion"/>
  </si>
  <si>
    <t>物业公司管理</t>
    <phoneticPr fontId="25" type="noConversion"/>
  </si>
  <si>
    <t>七通</t>
    <phoneticPr fontId="25" type="noConversion"/>
  </si>
  <si>
    <t>六通</t>
    <phoneticPr fontId="25" type="noConversion"/>
  </si>
  <si>
    <t>精装修</t>
    <phoneticPr fontId="25" type="noConversion"/>
  </si>
  <si>
    <t>正常</t>
  </si>
  <si>
    <t>住宅</t>
    <phoneticPr fontId="25" type="noConversion"/>
  </si>
  <si>
    <t>南北</t>
    <phoneticPr fontId="135" type="noConversion"/>
  </si>
  <si>
    <t>南</t>
    <phoneticPr fontId="135" type="noConversion"/>
  </si>
  <si>
    <t>东南</t>
    <phoneticPr fontId="135" type="noConversion"/>
  </si>
  <si>
    <t>西南</t>
    <phoneticPr fontId="135" type="noConversion"/>
  </si>
  <si>
    <t>东西</t>
    <phoneticPr fontId="135" type="noConversion"/>
  </si>
  <si>
    <t>东</t>
    <phoneticPr fontId="135" type="noConversion"/>
  </si>
  <si>
    <t>西</t>
    <phoneticPr fontId="135" type="noConversion"/>
  </si>
  <si>
    <t>东北</t>
    <phoneticPr fontId="135" type="noConversion"/>
  </si>
  <si>
    <t>西北</t>
    <phoneticPr fontId="135" type="noConversion"/>
  </si>
  <si>
    <t>北</t>
    <phoneticPr fontId="135" type="noConversion"/>
  </si>
  <si>
    <t>塔楼</t>
    <phoneticPr fontId="25" type="noConversion"/>
  </si>
  <si>
    <t>道路级别</t>
    <phoneticPr fontId="25" type="noConversion"/>
  </si>
  <si>
    <t>城市次干道</t>
    <phoneticPr fontId="25" type="noConversion"/>
  </si>
  <si>
    <t>城市主干道</t>
    <phoneticPr fontId="25" type="noConversion"/>
  </si>
  <si>
    <t>城市支路</t>
    <phoneticPr fontId="25" type="noConversion"/>
  </si>
  <si>
    <t>城市支路</t>
    <phoneticPr fontId="25" type="noConversion"/>
  </si>
  <si>
    <t>居委会管理</t>
    <phoneticPr fontId="25" type="noConversion"/>
  </si>
  <si>
    <t>砖混</t>
    <phoneticPr fontId="25" type="noConversion"/>
  </si>
  <si>
    <t>地价款</t>
    <phoneticPr fontId="9" type="noConversion"/>
  </si>
  <si>
    <t>多层板楼</t>
    <phoneticPr fontId="25" type="noConversion"/>
  </si>
  <si>
    <t>高层板楼</t>
    <phoneticPr fontId="25" type="noConversion"/>
  </si>
  <si>
    <t>居住环境</t>
    <phoneticPr fontId="4" type="noConversion"/>
  </si>
  <si>
    <t>噪音污染</t>
    <phoneticPr fontId="25" type="noConversion"/>
  </si>
  <si>
    <t>估价对象所在区域基础设施水平</t>
    <phoneticPr fontId="25" type="noConversion"/>
  </si>
  <si>
    <t>物业公司管理</t>
  </si>
  <si>
    <t>简单装修</t>
    <phoneticPr fontId="25" type="noConversion"/>
  </si>
  <si>
    <t>房屋性质</t>
    <phoneticPr fontId="4" type="noConversion"/>
  </si>
  <si>
    <t>商品房</t>
  </si>
  <si>
    <t>商品房</t>
    <phoneticPr fontId="25" type="noConversion"/>
  </si>
  <si>
    <t>成本价出售住宅</t>
    <phoneticPr fontId="25" type="noConversion"/>
  </si>
  <si>
    <t>混合</t>
    <phoneticPr fontId="25" type="noConversion"/>
  </si>
  <si>
    <t>高楼层</t>
    <phoneticPr fontId="4" type="noConversion"/>
  </si>
  <si>
    <t>中楼层</t>
    <phoneticPr fontId="4" type="noConversion"/>
  </si>
  <si>
    <t>低楼层</t>
    <phoneticPr fontId="4" type="noConversion"/>
  </si>
  <si>
    <t>平层住宅</t>
  </si>
  <si>
    <t>普通装修</t>
  </si>
  <si>
    <t>首层</t>
    <phoneticPr fontId="25" type="noConversion"/>
  </si>
  <si>
    <t>中楼层</t>
    <phoneticPr fontId="25" type="noConversion"/>
  </si>
  <si>
    <t>110105029001GB00457F00020009</t>
    <phoneticPr fontId="7" type="noConversion"/>
  </si>
  <si>
    <t>南北</t>
  </si>
  <si>
    <t>四室</t>
    <phoneticPr fontId="25" type="noConversion"/>
  </si>
  <si>
    <t>三室</t>
  </si>
  <si>
    <t>三室</t>
    <phoneticPr fontId="25" type="noConversion"/>
  </si>
  <si>
    <t>两室</t>
  </si>
  <si>
    <t>两室</t>
    <phoneticPr fontId="25" type="noConversion"/>
  </si>
  <si>
    <t>一室</t>
    <phoneticPr fontId="25" type="noConversion"/>
  </si>
  <si>
    <t>成新度</t>
    <phoneticPr fontId="25" type="noConversion"/>
  </si>
  <si>
    <t>板塔结合</t>
    <phoneticPr fontId="25" type="noConversion"/>
  </si>
  <si>
    <t>金奥嘉园</t>
    <phoneticPr fontId="4" type="noConversion"/>
  </si>
  <si>
    <t>医院：北京太阳城医院医院等医疗机构；
学校：北京商业学校昌平校区、北京师范大学亚太实验学校等教育机构；
商业：和鑫来生活超市等商业设施；
综合评价公共服务设施齐备度一般。</t>
    <phoneticPr fontId="41" type="noConversion"/>
  </si>
  <si>
    <t>太阳城</t>
    <phoneticPr fontId="25" type="noConversion"/>
  </si>
  <si>
    <t>医院：北京太阳城医院医院等医疗机构；
学校：北京商业学校昌平校区、北京师范大学亚太实验学校等教育机构；
商业：和鑫来生活超市等商业设施；
综合评价公共服务设施齐备度一般。</t>
    <phoneticPr fontId="25" type="noConversion"/>
  </si>
  <si>
    <t>设定为中楼层</t>
    <rPh sb="0" eb="1">
      <t>she ding wei</t>
    </rPh>
    <rPh sb="3" eb="4">
      <t>zhong lou ceng</t>
    </rPh>
    <phoneticPr fontId="4" type="noConversion"/>
  </si>
  <si>
    <t>雅典庄园</t>
    <phoneticPr fontId="135" type="noConversion"/>
  </si>
  <si>
    <t>王府温馨公寓</t>
    <phoneticPr fontId="135" type="noConversion"/>
  </si>
  <si>
    <t>王府温馨公寓</t>
  </si>
  <si>
    <t>王府温馨公寓</t>
    <phoneticPr fontId="25" type="noConversion"/>
  </si>
  <si>
    <t>多层板楼</t>
  </si>
  <si>
    <t>主力户型建筑面积</t>
    <phoneticPr fontId="25" type="noConversion"/>
  </si>
  <si>
    <t>85-89</t>
    <phoneticPr fontId="25" type="noConversion"/>
  </si>
  <si>
    <t>毛坯</t>
  </si>
  <si>
    <t>毛坯</t>
    <phoneticPr fontId="25" type="noConversion"/>
  </si>
  <si>
    <t>设施设备情况</t>
    <phoneticPr fontId="25" type="noConversion"/>
  </si>
  <si>
    <t>有电梯</t>
    <phoneticPr fontId="25" type="noConversion"/>
  </si>
  <si>
    <t>有电梯</t>
    <phoneticPr fontId="4" type="noConversion"/>
  </si>
  <si>
    <t>无电梯</t>
    <phoneticPr fontId="4" type="noConversion"/>
  </si>
  <si>
    <t>120-140</t>
    <phoneticPr fontId="25" type="noConversion"/>
  </si>
  <si>
    <t>无电梯</t>
    <phoneticPr fontId="25" type="noConversion"/>
  </si>
  <si>
    <t>周边有太阳城、远洋傲北、冠华苑、冠雅苑等住宅小区，居住社区成熟度较好。</t>
    <phoneticPr fontId="41" type="noConversion"/>
  </si>
  <si>
    <t>周边有金隅上城郡、远洋傲北、冠华苑、冠雅苑等住宅小区，居住社区成熟度较好。</t>
    <phoneticPr fontId="25" type="noConversion"/>
  </si>
  <si>
    <t>周边有阿苏卫小区、保利垄上、纳帕溪谷、复地湾流汇等住宅小区，居住社区成熟度较好。</t>
    <phoneticPr fontId="25" type="noConversion"/>
  </si>
  <si>
    <t>自然环境：温榆河水系等自然及人文景观；
综合评价环境状况较好。</t>
    <phoneticPr fontId="41" type="noConversion"/>
  </si>
  <si>
    <t>自然环境：温榆河水系等自然及人文景观；
综合评价环境状况较好。</t>
    <phoneticPr fontId="25" type="noConversion"/>
  </si>
  <si>
    <t>自然环境：人口文化园、葫芦河水系等自然及人文景观；
综合评价环境状况较好。</t>
    <phoneticPr fontId="25" type="noConversion"/>
  </si>
  <si>
    <t>银行：中国工商银行、中国建设银行等金融机构；
医院：小汤山医院等医疗机构；
学校：北京师大二附中汇才国际学校、昌平区小汤山中心小学等教育机构；
商业：物美超市等商业设施；
综合评价公共服务设施齐备度较好。</t>
    <phoneticPr fontId="25" type="noConversion"/>
  </si>
  <si>
    <t>周边有王府花园、硅谷ONE、洪裕家园等住宅小区，居住社区成熟度较好。</t>
    <phoneticPr fontId="25" type="noConversion"/>
  </si>
  <si>
    <t>银行：北京农商银行等金融机构；
医院：平西府社区卫生服务站等医疗机构；
学校：北京王府学校、北京王府幼儿园等教育机构；
商业：奥北之家家居广场、华联超市等商业设施；
综合评价公共服务设施齐备度较好。</t>
    <phoneticPr fontId="25" type="noConversion"/>
  </si>
  <si>
    <t>自然环境：秀水湖公园、西沙各庄郊野公园等自然及人文景观；
综合评价环境状况较好。</t>
    <phoneticPr fontId="25" type="noConversion"/>
  </si>
  <si>
    <t>典雅庄园</t>
  </si>
  <si>
    <t>典雅庄园</t>
    <phoneticPr fontId="25" type="noConversion"/>
  </si>
  <si>
    <t>高层板楼</t>
  </si>
  <si>
    <t>80-100</t>
    <phoneticPr fontId="25" type="noConversion"/>
  </si>
  <si>
    <t>100-120</t>
    <phoneticPr fontId="25" type="noConversion"/>
  </si>
  <si>
    <t>北京太阳城</t>
    <phoneticPr fontId="135" type="noConversion"/>
  </si>
  <si>
    <t>12月</t>
    <phoneticPr fontId="135" type="noConversion"/>
  </si>
  <si>
    <t>11月</t>
    <phoneticPr fontId="135" type="noConversion"/>
  </si>
  <si>
    <t>10月</t>
    <phoneticPr fontId="135" type="noConversion"/>
  </si>
  <si>
    <t>9月</t>
  </si>
  <si>
    <t>8月</t>
  </si>
  <si>
    <t>7月</t>
  </si>
  <si>
    <t>6月</t>
  </si>
  <si>
    <t>5月</t>
  </si>
  <si>
    <t>4月</t>
  </si>
  <si>
    <t>3月</t>
  </si>
  <si>
    <t>2月</t>
  </si>
  <si>
    <t>1月</t>
  </si>
  <si>
    <t>均值</t>
    <phoneticPr fontId="135" type="noConversion"/>
  </si>
  <si>
    <t>小区</t>
  </si>
  <si>
    <t>北京太阳城</t>
  </si>
  <si>
    <t>平米租金(元/㎡·月)</t>
  </si>
  <si>
    <t>冠雅苑</t>
  </si>
  <si>
    <t>租金</t>
  </si>
  <si>
    <t>冠雅苑</t>
    <phoneticPr fontId="25" type="noConversion"/>
  </si>
  <si>
    <t>银行：北京农商银行等金融机构；
医院：平西府社区卫生服务站等医疗机构；
学校：北京王府学校、北京王府幼儿园等教育机构；
商业：奥北之家家居广场、物美超市、华联超市等商业设施；
综合评价公共服务设施齐备度较好。</t>
    <phoneticPr fontId="25" type="noConversion"/>
  </si>
  <si>
    <t>60-80</t>
    <phoneticPr fontId="25" type="noConversion"/>
  </si>
  <si>
    <t>基础设施建设费</t>
    <phoneticPr fontId="138" type="noConversion"/>
  </si>
  <si>
    <t>序号</t>
    <phoneticPr fontId="135" type="noConversion"/>
  </si>
  <si>
    <t>楼号</t>
    <phoneticPr fontId="135" type="noConversion"/>
  </si>
  <si>
    <t>单元</t>
    <phoneticPr fontId="135" type="noConversion"/>
  </si>
  <si>
    <t>楼层</t>
    <phoneticPr fontId="135" type="noConversion"/>
  </si>
  <si>
    <t>房号</t>
    <phoneticPr fontId="135" type="noConversion"/>
  </si>
  <si>
    <t>户型</t>
  </si>
  <si>
    <t>居室</t>
  </si>
  <si>
    <t>朝向</t>
  </si>
  <si>
    <t>建筑面积</t>
  </si>
  <si>
    <t>数量</t>
    <phoneticPr fontId="135" type="noConversion"/>
  </si>
  <si>
    <t>全房号</t>
    <phoneticPr fontId="135" type="noConversion"/>
  </si>
  <si>
    <t>B1</t>
  </si>
  <si>
    <t>二居</t>
  </si>
  <si>
    <t>4-1-201</t>
    <phoneticPr fontId="135" type="noConversion"/>
  </si>
  <si>
    <t>行标签</t>
  </si>
  <si>
    <t>求和项:数量</t>
  </si>
  <si>
    <t>C1</t>
  </si>
  <si>
    <t>南</t>
  </si>
  <si>
    <t>4-1-202</t>
  </si>
  <si>
    <t>A1</t>
  </si>
  <si>
    <t>4-1-203</t>
  </si>
  <si>
    <t>东</t>
  </si>
  <si>
    <t>4-1-301</t>
    <phoneticPr fontId="135" type="noConversion"/>
  </si>
  <si>
    <t>4-1-302</t>
  </si>
  <si>
    <t>C反</t>
  </si>
  <si>
    <t>4-1-303</t>
  </si>
  <si>
    <t>M-S</t>
  </si>
  <si>
    <t>4-1-401</t>
    <phoneticPr fontId="135" type="noConversion"/>
  </si>
  <si>
    <t>东北</t>
  </si>
  <si>
    <t>4-1-402</t>
  </si>
  <si>
    <t>F反</t>
  </si>
  <si>
    <t>4-1-403</t>
  </si>
  <si>
    <t>东西</t>
  </si>
  <si>
    <t>4-1-501</t>
    <phoneticPr fontId="135" type="noConversion"/>
  </si>
  <si>
    <t>4-1-502</t>
  </si>
  <si>
    <t>A2反</t>
  </si>
  <si>
    <t>4-1-503</t>
  </si>
  <si>
    <t>A1反</t>
  </si>
  <si>
    <t>4-1-601</t>
    <phoneticPr fontId="135" type="noConversion"/>
  </si>
  <si>
    <t>B反</t>
  </si>
  <si>
    <t>4-1-602</t>
  </si>
  <si>
    <t>J</t>
  </si>
  <si>
    <t>4-1-603</t>
  </si>
  <si>
    <t>W</t>
  </si>
  <si>
    <t>4-2-201</t>
    <phoneticPr fontId="135" type="noConversion"/>
  </si>
  <si>
    <t>C1反</t>
  </si>
  <si>
    <t>4-2-202</t>
  </si>
  <si>
    <t>B1反</t>
  </si>
  <si>
    <t>4-2-203</t>
  </si>
  <si>
    <t>4-2-301</t>
    <phoneticPr fontId="135" type="noConversion"/>
  </si>
  <si>
    <t>4-2-302</t>
  </si>
  <si>
    <t>4-2-303</t>
  </si>
  <si>
    <t>H</t>
  </si>
  <si>
    <t>A反</t>
  </si>
  <si>
    <t>H反</t>
  </si>
  <si>
    <t>B-S</t>
  </si>
  <si>
    <t>D</t>
  </si>
  <si>
    <t>E</t>
  </si>
  <si>
    <t>E反</t>
  </si>
  <si>
    <t>K</t>
  </si>
  <si>
    <t>K反</t>
  </si>
  <si>
    <t>S</t>
  </si>
  <si>
    <t>T</t>
  </si>
  <si>
    <t>西</t>
  </si>
  <si>
    <t>西北</t>
  </si>
  <si>
    <t>F</t>
  </si>
  <si>
    <t>三居</t>
  </si>
  <si>
    <t>G</t>
  </si>
  <si>
    <t>G反</t>
  </si>
  <si>
    <t>Y</t>
  </si>
  <si>
    <t>一居</t>
  </si>
  <si>
    <t>M</t>
  </si>
  <si>
    <t>V</t>
  </si>
  <si>
    <t>X</t>
  </si>
  <si>
    <t>U</t>
  </si>
  <si>
    <t>R</t>
  </si>
  <si>
    <t>C-S</t>
  </si>
  <si>
    <t>H-S</t>
  </si>
  <si>
    <t>H-S反</t>
  </si>
  <si>
    <t>L</t>
  </si>
  <si>
    <t>L反</t>
  </si>
  <si>
    <t>A-S</t>
  </si>
  <si>
    <t>A-S反</t>
  </si>
  <si>
    <t>M反</t>
  </si>
  <si>
    <t>Q</t>
  </si>
  <si>
    <t>P</t>
  </si>
  <si>
    <t>总计</t>
  </si>
  <si>
    <t>周边有537路、643路、905路等多条公交线路，紧邻城市支路——爱博路，综合评价交通便捷度一般</t>
    <phoneticPr fontId="41" type="noConversion"/>
  </si>
  <si>
    <t>周边有643路、905路、945路等多条公交线路，紧邻城市主干道——顺沙路，综合评价交通便捷度较好</t>
    <phoneticPr fontId="41" type="noConversion"/>
  </si>
  <si>
    <t>周边有417路、871路、966路等多条公交线路，紧邻城市支路——海白路，综合评价交通便捷度较好</t>
    <phoneticPr fontId="41" type="noConversion"/>
  </si>
  <si>
    <t>周边有417路、871路、966路等多条公交线路，紧邻城市主干路——定泗路，综合评价交通便捷度较好</t>
    <phoneticPr fontId="41" type="noConversion"/>
  </si>
  <si>
    <t>居住社区成熟度</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</si>
</sst>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 numFmtId="198" formatCode="[$-10804]#,##0.00;\-#,##0.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b/>
      <sz val="10"/>
      <color rgb="FFFF0000"/>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37" fillId="0" borderId="0"/>
    <xf numFmtId="0" fontId="1" fillId="0" borderId="0"/>
    <xf numFmtId="198" fontId="37" fillId="0" borderId="0"/>
  </cellStyleXfs>
  <cellXfs count="356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10" fontId="48" fillId="12" borderId="0" xfId="0" applyNumberFormat="1" applyFont="1" applyFill="1" applyProtection="1">
      <alignment vertical="center"/>
      <protection locked="0"/>
    </xf>
    <xf numFmtId="0" fontId="129" fillId="0" borderId="44"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5" fillId="0" borderId="37" xfId="0"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270" fillId="0" borderId="0" xfId="0" applyFont="1" applyAlignment="1">
      <alignment horizontal="center" vertical="center"/>
    </xf>
    <xf numFmtId="14" fontId="48" fillId="12" borderId="0" xfId="0" applyNumberFormat="1" applyFont="1" applyFill="1" applyAlignment="1" applyProtection="1">
      <alignment vertical="center" wrapText="1"/>
      <protection locked="0"/>
    </xf>
    <xf numFmtId="176" fontId="48" fillId="12" borderId="0" xfId="0" applyNumberFormat="1" applyFont="1" applyFill="1" applyAlignment="1" applyProtection="1">
      <alignment vertical="center" wrapText="1"/>
      <protection locked="0"/>
    </xf>
    <xf numFmtId="9" fontId="48" fillId="12" borderId="0" xfId="17" applyFont="1" applyFill="1" applyAlignment="1" applyProtection="1">
      <alignment vertical="center"/>
      <protection locked="0"/>
    </xf>
    <xf numFmtId="9" fontId="48" fillId="12" borderId="0" xfId="0" applyNumberFormat="1" applyFont="1" applyFill="1" applyProtection="1">
      <alignment vertical="center"/>
      <protection locked="0"/>
    </xf>
    <xf numFmtId="14" fontId="0" fillId="0" borderId="0" xfId="0" applyNumberFormat="1" applyAlignment="1">
      <alignment horizontal="center" vertical="center"/>
    </xf>
    <xf numFmtId="0" fontId="129" fillId="0" borderId="51" xfId="0" applyFont="1" applyBorder="1" applyAlignment="1" applyProtection="1">
      <alignment horizontal="center" vertical="center" wrapText="1"/>
      <protection locked="0"/>
    </xf>
    <xf numFmtId="49" fontId="223" fillId="0" borderId="10"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95" fillId="0" borderId="40" xfId="0" applyNumberFormat="1" applyFont="1" applyBorder="1" applyAlignment="1" applyProtection="1">
      <alignment horizontal="center" vertical="center" wrapText="1"/>
      <protection locked="0"/>
    </xf>
    <xf numFmtId="49" fontId="95" fillId="0" borderId="11" xfId="0" applyNumberFormat="1" applyFont="1" applyBorder="1" applyAlignment="1" applyProtection="1">
      <alignment horizontal="center" vertical="center" wrapText="1"/>
      <protection locked="0"/>
    </xf>
    <xf numFmtId="49" fontId="223" fillId="0" borderId="24" xfId="0" applyNumberFormat="1" applyFont="1" applyBorder="1" applyAlignment="1" applyProtection="1">
      <alignment vertical="center" wrapText="1"/>
      <protection locked="0"/>
    </xf>
    <xf numFmtId="0" fontId="271" fillId="0" borderId="44" xfId="0" applyFont="1" applyBorder="1" applyAlignment="1" applyProtection="1">
      <alignment horizontal="center" vertical="center" wrapText="1"/>
      <protection locked="0"/>
    </xf>
    <xf numFmtId="0" fontId="129" fillId="0" borderId="0" xfId="0" applyFont="1" applyAlignment="1" applyProtection="1">
      <alignment horizontal="center" vertical="center"/>
      <protection locked="0"/>
    </xf>
    <xf numFmtId="0" fontId="45" fillId="6" borderId="9" xfId="0" applyFont="1" applyFill="1" applyBorder="1" applyAlignment="1" applyProtection="1">
      <alignment horizontal="center" vertical="center" wrapText="1"/>
      <protection locked="0"/>
    </xf>
    <xf numFmtId="196" fontId="45" fillId="6" borderId="28" xfId="0" applyNumberFormat="1" applyFont="1" applyFill="1" applyBorder="1" applyAlignment="1">
      <alignment horizontal="right" vertical="center"/>
    </xf>
    <xf numFmtId="0" fontId="95" fillId="2" borderId="14" xfId="0" applyFont="1" applyFill="1" applyBorder="1" applyAlignment="1" applyProtection="1">
      <alignment horizontal="center" vertical="center" wrapText="1"/>
      <protection locked="0"/>
    </xf>
    <xf numFmtId="0" fontId="124" fillId="0" borderId="23" xfId="0" applyFont="1" applyBorder="1" applyAlignment="1" applyProtection="1">
      <alignment horizontal="center" vertical="center"/>
      <protection locked="0"/>
    </xf>
    <xf numFmtId="186" fontId="101" fillId="0" borderId="1" xfId="0" applyNumberFormat="1" applyFont="1" applyBorder="1" applyAlignment="1" applyProtection="1">
      <alignment horizontal="center" vertical="center"/>
      <protection locked="0"/>
    </xf>
    <xf numFmtId="0" fontId="129" fillId="6" borderId="57" xfId="0" applyFont="1" applyFill="1" applyBorder="1" applyAlignment="1">
      <alignment horizontal="center" vertical="center" wrapText="1"/>
    </xf>
    <xf numFmtId="0" fontId="95" fillId="0" borderId="14" xfId="0" applyFont="1" applyBorder="1" applyAlignment="1" applyProtection="1">
      <alignment horizontal="center" vertical="center" wrapText="1"/>
      <protection locked="0"/>
    </xf>
    <xf numFmtId="0" fontId="95" fillId="0" borderId="35" xfId="0" applyFont="1" applyBorder="1" applyAlignment="1" applyProtection="1">
      <alignment horizontal="center" vertical="center" wrapText="1"/>
      <protection locked="0"/>
    </xf>
    <xf numFmtId="0" fontId="95" fillId="0" borderId="11" xfId="0" applyFont="1" applyBorder="1" applyAlignment="1" applyProtection="1">
      <alignment horizontal="center" vertical="center" wrapText="1"/>
      <protection locked="0"/>
    </xf>
    <xf numFmtId="49" fontId="129" fillId="0" borderId="41" xfId="0" applyNumberFormat="1" applyFont="1" applyBorder="1" applyAlignment="1" applyProtection="1">
      <alignment horizontal="center" vertical="center" wrapText="1"/>
      <protection locked="0"/>
    </xf>
    <xf numFmtId="0" fontId="129" fillId="6" borderId="5" xfId="0" applyFont="1" applyFill="1" applyBorder="1" applyAlignment="1">
      <alignment horizontal="center" vertical="center" wrapText="1"/>
    </xf>
    <xf numFmtId="0" fontId="45" fillId="5" borderId="48" xfId="0" applyFont="1" applyFill="1" applyBorder="1" applyAlignment="1">
      <alignment horizontal="center" vertical="center" wrapText="1"/>
    </xf>
    <xf numFmtId="176" fontId="129" fillId="0" borderId="3" xfId="0" applyNumberFormat="1" applyFont="1" applyBorder="1" applyAlignment="1" applyProtection="1">
      <alignment horizontal="center" vertical="center" wrapText="1"/>
      <protection locked="0"/>
    </xf>
    <xf numFmtId="176" fontId="129" fillId="5" borderId="23" xfId="0" applyNumberFormat="1" applyFont="1" applyFill="1" applyBorder="1" applyAlignment="1" applyProtection="1">
      <alignment horizontal="center" vertical="center" wrapText="1"/>
      <protection locked="0"/>
    </xf>
    <xf numFmtId="176" fontId="45" fillId="7" borderId="24" xfId="1" applyNumberFormat="1" applyFont="1" applyFill="1" applyBorder="1" applyAlignment="1" applyProtection="1">
      <alignment horizontal="center" vertical="center"/>
      <protection locked="0"/>
    </xf>
    <xf numFmtId="10" fontId="114" fillId="9" borderId="23" xfId="0" applyNumberFormat="1" applyFont="1" applyFill="1" applyBorder="1" applyProtection="1">
      <alignment vertical="center"/>
      <protection locked="0"/>
    </xf>
    <xf numFmtId="197" fontId="48" fillId="6" borderId="1" xfId="0" applyNumberFormat="1" applyFont="1" applyFill="1" applyBorder="1" applyAlignment="1">
      <alignment horizontal="center" vertical="center"/>
    </xf>
    <xf numFmtId="177" fontId="48" fillId="7" borderId="1" xfId="1" applyNumberFormat="1" applyFont="1" applyFill="1" applyBorder="1" applyAlignment="1" applyProtection="1">
      <alignment horizontal="center" vertical="center"/>
      <protection locked="0"/>
    </xf>
    <xf numFmtId="10" fontId="48" fillId="7" borderId="1" xfId="1" applyNumberFormat="1" applyFont="1" applyFill="1" applyBorder="1" applyAlignment="1" applyProtection="1">
      <alignment horizontal="center" vertical="center"/>
      <protection locked="0"/>
    </xf>
    <xf numFmtId="49" fontId="52" fillId="5" borderId="23" xfId="0" applyNumberFormat="1" applyFont="1" applyFill="1" applyBorder="1" applyAlignment="1" applyProtection="1">
      <alignment horizontal="center" vertical="center" wrapText="1"/>
      <protection locked="0"/>
    </xf>
    <xf numFmtId="0" fontId="101"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9" fillId="6" borderId="44" xfId="0" applyFont="1" applyFill="1" applyBorder="1" applyAlignment="1">
      <alignment horizontal="center" vertical="center" wrapText="1"/>
    </xf>
    <xf numFmtId="181" fontId="53" fillId="5" borderId="24" xfId="0" applyNumberFormat="1" applyFont="1" applyFill="1" applyBorder="1" applyAlignment="1">
      <alignment horizontal="center" vertical="center"/>
    </xf>
    <xf numFmtId="0" fontId="101" fillId="9" borderId="24" xfId="0" applyFont="1" applyFill="1" applyBorder="1" applyAlignment="1" applyProtection="1">
      <alignment horizontal="center" vertical="center"/>
      <protection locked="0"/>
    </xf>
    <xf numFmtId="176" fontId="48" fillId="0" borderId="1" xfId="0" applyNumberFormat="1" applyFont="1" applyBorder="1" applyAlignment="1" applyProtection="1">
      <alignment horizontal="center" vertical="center" shrinkToFit="1"/>
      <protection locked="0"/>
    </xf>
    <xf numFmtId="181" fontId="48" fillId="6" borderId="48" xfId="0" applyNumberFormat="1" applyFont="1" applyFill="1" applyBorder="1" applyAlignment="1">
      <alignment horizontal="center" vertical="center" wrapText="1"/>
    </xf>
    <xf numFmtId="0" fontId="95" fillId="5" borderId="6" xfId="0" applyFont="1" applyFill="1" applyBorder="1" applyAlignment="1" applyProtection="1">
      <alignment horizontal="center" vertical="center" wrapText="1"/>
      <protection locked="0"/>
    </xf>
    <xf numFmtId="176" fontId="45" fillId="5" borderId="3" xfId="0" applyNumberFormat="1" applyFont="1" applyFill="1" applyBorder="1" applyAlignment="1" applyProtection="1">
      <alignment horizontal="center" vertical="center" wrapText="1"/>
      <protection locked="0"/>
    </xf>
    <xf numFmtId="0" fontId="52" fillId="5" borderId="23" xfId="0" applyFont="1" applyFill="1" applyBorder="1" applyAlignment="1" applyProtection="1">
      <alignment horizontal="center" vertical="center" wrapText="1"/>
      <protection locked="0"/>
    </xf>
    <xf numFmtId="9" fontId="45" fillId="5" borderId="37" xfId="17" applyFont="1" applyFill="1" applyBorder="1" applyAlignment="1" applyProtection="1">
      <alignment horizontal="center" vertical="center" wrapText="1"/>
      <protection locked="0"/>
    </xf>
    <xf numFmtId="0" fontId="52" fillId="5" borderId="6" xfId="0" applyFont="1" applyFill="1" applyBorder="1" applyAlignment="1" applyProtection="1">
      <alignment horizontal="center" vertical="center" wrapText="1"/>
      <protection locked="0"/>
    </xf>
    <xf numFmtId="188" fontId="45" fillId="6" borderId="24" xfId="0" applyNumberFormat="1" applyFont="1" applyFill="1" applyBorder="1" applyAlignment="1">
      <alignment horizontal="center" vertical="center" wrapText="1"/>
    </xf>
    <xf numFmtId="0" fontId="97" fillId="0" borderId="0" xfId="0" applyFont="1" applyAlignment="1">
      <alignment horizontal="center" vertical="center"/>
    </xf>
    <xf numFmtId="0" fontId="270" fillId="0" borderId="0" xfId="0" applyFont="1" applyAlignment="1"/>
    <xf numFmtId="0" fontId="78" fillId="6" borderId="1" xfId="0" applyFont="1" applyFill="1" applyBorder="1" applyAlignment="1">
      <alignment horizontal="left" vertical="center"/>
    </xf>
    <xf numFmtId="0" fontId="186" fillId="0" borderId="1" xfId="19" applyFont="1" applyBorder="1" applyAlignment="1">
      <alignment horizontal="center" vertical="center" wrapText="1"/>
    </xf>
    <xf numFmtId="49" fontId="186" fillId="0" borderId="1" xfId="19" applyNumberFormat="1" applyFont="1" applyBorder="1" applyAlignment="1">
      <alignment horizontal="center" vertical="center" wrapText="1"/>
    </xf>
    <xf numFmtId="176" fontId="147" fillId="0" borderId="1" xfId="19" applyNumberFormat="1" applyFont="1" applyBorder="1" applyAlignment="1">
      <alignment horizontal="center" vertical="center"/>
    </xf>
    <xf numFmtId="0" fontId="186" fillId="0" borderId="0" xfId="19" applyFont="1" applyAlignment="1">
      <alignment horizontal="center" vertical="center" wrapText="1"/>
    </xf>
    <xf numFmtId="0" fontId="1" fillId="0" borderId="0" xfId="20"/>
    <xf numFmtId="49" fontId="95" fillId="0" borderId="1" xfId="20" applyNumberFormat="1" applyFont="1" applyBorder="1" applyAlignment="1">
      <alignment horizontal="center" vertical="center" shrinkToFit="1"/>
    </xf>
    <xf numFmtId="198" fontId="95" fillId="0" borderId="1" xfId="21" applyFont="1" applyBorder="1" applyAlignment="1">
      <alignment horizontal="center" vertical="center" wrapText="1"/>
    </xf>
    <xf numFmtId="179" fontId="95" fillId="0" borderId="1" xfId="20" applyNumberFormat="1" applyFont="1" applyBorder="1" applyAlignment="1">
      <alignment horizontal="center" vertical="center" shrinkToFit="1"/>
    </xf>
    <xf numFmtId="0" fontId="95" fillId="0" borderId="1" xfId="20" applyFont="1" applyBorder="1" applyAlignment="1">
      <alignment horizontal="center" vertical="center" shrinkToFit="1"/>
    </xf>
    <xf numFmtId="198" fontId="95" fillId="0" borderId="0" xfId="21" applyFont="1" applyAlignment="1">
      <alignment horizontal="center" vertical="center" wrapText="1"/>
    </xf>
    <xf numFmtId="49" fontId="95" fillId="0" borderId="1" xfId="20" applyNumberFormat="1" applyFont="1" applyBorder="1" applyAlignment="1">
      <alignment horizontal="center" vertical="center"/>
    </xf>
    <xf numFmtId="0" fontId="1" fillId="0" borderId="0" xfId="20" applyAlignment="1">
      <alignment horizontal="left"/>
    </xf>
    <xf numFmtId="0" fontId="1" fillId="0" borderId="0" xfId="20" applyAlignment="1">
      <alignment horizontal="left" indent="1"/>
    </xf>
    <xf numFmtId="179" fontId="1" fillId="0" borderId="0" xfId="20" applyNumberFormat="1" applyAlignment="1">
      <alignment horizontal="left" indent="2"/>
    </xf>
    <xf numFmtId="0" fontId="1" fillId="0" borderId="0" xfId="20" applyAlignment="1">
      <alignment horizontal="left" indent="2"/>
    </xf>
    <xf numFmtId="0" fontId="1" fillId="0" borderId="0" xfId="20" applyAlignment="1">
      <alignment horizontal="left" indent="3"/>
    </xf>
    <xf numFmtId="179" fontId="95" fillId="0" borderId="1" xfId="20" applyNumberFormat="1" applyFont="1" applyBorder="1" applyAlignment="1">
      <alignment horizontal="center" vertical="center"/>
    </xf>
    <xf numFmtId="0" fontId="95" fillId="7" borderId="1" xfId="20" applyFont="1" applyFill="1" applyBorder="1" applyAlignment="1">
      <alignment horizontal="center" vertical="center" shrinkToFit="1"/>
    </xf>
    <xf numFmtId="198" fontId="95" fillId="0" borderId="1" xfId="21" applyFont="1" applyBorder="1" applyAlignment="1">
      <alignment horizontal="center" vertical="center" shrinkToFit="1"/>
    </xf>
    <xf numFmtId="179" fontId="1" fillId="0" borderId="0" xfId="20" applyNumberFormat="1"/>
    <xf numFmtId="0" fontId="52" fillId="9" borderId="14" xfId="0" applyFont="1" applyFill="1" applyBorder="1" applyAlignment="1" applyProtection="1">
      <alignment horizontal="center" vertical="center" wrapText="1"/>
      <protection locked="0"/>
    </xf>
    <xf numFmtId="0" fontId="52" fillId="5" borderId="14" xfId="0" applyFont="1" applyFill="1" applyBorder="1" applyAlignment="1" applyProtection="1">
      <alignment horizontal="center" vertical="center" wrapText="1"/>
      <protection locked="0"/>
    </xf>
    <xf numFmtId="181" fontId="55" fillId="9" borderId="24" xfId="0" applyNumberFormat="1" applyFont="1" applyFill="1" applyBorder="1" applyAlignment="1">
      <alignment horizontal="center" vertical="center"/>
    </xf>
    <xf numFmtId="0" fontId="129" fillId="6" borderId="29" xfId="0" applyFont="1" applyFill="1" applyBorder="1" applyAlignment="1">
      <alignment horizontal="center" vertical="center" wrapText="1"/>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37" xfId="0" applyFont="1" applyBorder="1" applyAlignment="1" applyProtection="1">
      <alignment horizontal="center" vertical="center" wrapText="1"/>
      <protection locked="0"/>
    </xf>
    <xf numFmtId="0" fontId="167" fillId="0" borderId="48"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0" fillId="0" borderId="0" xfId="0" applyAlignment="1"/>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52" fillId="22" borderId="61" xfId="0" applyFont="1" applyFill="1" applyBorder="1" applyAlignment="1">
      <alignment horizontal="center" vertical="center" wrapText="1"/>
    </xf>
    <xf numFmtId="0" fontId="52" fillId="22" borderId="53" xfId="0" applyFont="1" applyFill="1" applyBorder="1" applyAlignment="1">
      <alignment horizontal="center" vertical="center" wrapText="1"/>
    </xf>
    <xf numFmtId="0" fontId="52" fillId="22" borderId="10" xfId="0" applyFont="1" applyFill="1" applyBorder="1" applyAlignment="1">
      <alignment horizontal="center" vertical="center" wrapText="1"/>
    </xf>
    <xf numFmtId="0" fontId="52" fillId="22" borderId="5" xfId="0" applyFont="1" applyFill="1" applyBorder="1" applyAlignment="1">
      <alignment horizontal="center" vertical="center" wrapText="1"/>
    </xf>
    <xf numFmtId="0" fontId="52" fillId="22" borderId="24" xfId="0" applyFont="1" applyFill="1" applyBorder="1" applyAlignment="1">
      <alignment horizontal="center" vertical="center" wrapText="1"/>
    </xf>
    <xf numFmtId="0" fontId="45" fillId="22" borderId="24" xfId="0" applyFont="1" applyFill="1" applyBorder="1" applyAlignment="1">
      <alignment horizontal="center" vertical="center" wrapText="1"/>
    </xf>
    <xf numFmtId="179" fontId="53" fillId="22" borderId="24" xfId="0" applyNumberFormat="1" applyFont="1" applyFill="1" applyBorder="1" applyAlignment="1">
      <alignment horizontal="center" vertical="center"/>
    </xf>
  </cellXfs>
  <cellStyles count="22">
    <cellStyle name="百分比" xfId="17" builtinId="5"/>
    <cellStyle name="百分比 2" xfId="14" xr:uid="{00000000-0005-0000-0000-000001000000}"/>
    <cellStyle name="常规" xfId="0" builtinId="0"/>
    <cellStyle name="常规 10" xfId="20" xr:uid="{F2A345B6-879A-4F45-93F4-F155ACDC90F4}"/>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xfId="19" xr:uid="{52FB1B20-2FBB-4DA7-A0E4-60F2AB0C719D}"/>
    <cellStyle name="常规 2 2 2 2 3" xfId="15" xr:uid="{00000000-0005-0000-0000-000007000000}"/>
    <cellStyle name="常规 2 3" xfId="21" xr:uid="{2AA09DC7-9FE8-4B12-AAF0-A3F42A2002B3}"/>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4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781916</xdr:colOff>
      <xdr:row>19</xdr:row>
      <xdr:rowOff>189634</xdr:rowOff>
    </xdr:from>
    <xdr:to>
      <xdr:col>11</xdr:col>
      <xdr:colOff>1106278</xdr:colOff>
      <xdr:row>33</xdr:row>
      <xdr:rowOff>94383</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4458566"/>
          <a:ext cx="5970089" cy="4268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86</xdr:row>
      <xdr:rowOff>9525</xdr:rowOff>
    </xdr:from>
    <xdr:to>
      <xdr:col>3</xdr:col>
      <xdr:colOff>1366076</xdr:colOff>
      <xdr:row>127</xdr:row>
      <xdr:rowOff>65335</xdr:rowOff>
    </xdr:to>
    <xdr:pic>
      <xdr:nvPicPr>
        <xdr:cNvPr id="10" name="图片 9">
          <a:extLst>
            <a:ext uri="{FF2B5EF4-FFF2-40B4-BE49-F238E27FC236}">
              <a16:creationId xmlns:a16="http://schemas.microsoft.com/office/drawing/2014/main" id="{3D851CFA-C04F-6E76-5015-8B0F61518DBE}"/>
            </a:ext>
          </a:extLst>
        </xdr:cNvPr>
        <xdr:cNvPicPr>
          <a:picLocks noChangeAspect="1"/>
        </xdr:cNvPicPr>
      </xdr:nvPicPr>
      <xdr:blipFill>
        <a:blip xmlns:r="http://schemas.openxmlformats.org/officeDocument/2006/relationships" r:embed="rId2"/>
        <a:stretch>
          <a:fillRect/>
        </a:stretch>
      </xdr:blipFill>
      <xdr:spPr>
        <a:xfrm>
          <a:off x="66675" y="18973800"/>
          <a:ext cx="4899851" cy="7085260"/>
        </a:xfrm>
        <a:prstGeom prst="rect">
          <a:avLst/>
        </a:prstGeom>
      </xdr:spPr>
    </xdr:pic>
    <xdr:clientData/>
  </xdr:twoCellAnchor>
  <xdr:twoCellAnchor editAs="oneCell">
    <xdr:from>
      <xdr:col>12</xdr:col>
      <xdr:colOff>540328</xdr:colOff>
      <xdr:row>20</xdr:row>
      <xdr:rowOff>8659</xdr:rowOff>
    </xdr:from>
    <xdr:to>
      <xdr:col>20</xdr:col>
      <xdr:colOff>245861</xdr:colOff>
      <xdr:row>32</xdr:row>
      <xdr:rowOff>217711</xdr:rowOff>
    </xdr:to>
    <xdr:pic>
      <xdr:nvPicPr>
        <xdr:cNvPr id="3" name="图片 2">
          <a:extLst>
            <a:ext uri="{FF2B5EF4-FFF2-40B4-BE49-F238E27FC236}">
              <a16:creationId xmlns:a16="http://schemas.microsoft.com/office/drawing/2014/main" id="{E6334439-889E-3BE3-225C-50C696CC8FF3}"/>
            </a:ext>
          </a:extLst>
        </xdr:cNvPr>
        <xdr:cNvPicPr>
          <a:picLocks noChangeAspect="1"/>
        </xdr:cNvPicPr>
      </xdr:nvPicPr>
      <xdr:blipFill>
        <a:blip xmlns:r="http://schemas.openxmlformats.org/officeDocument/2006/relationships" r:embed="rId3"/>
        <a:stretch>
          <a:fillRect/>
        </a:stretch>
      </xdr:blipFill>
      <xdr:spPr>
        <a:xfrm>
          <a:off x="16845396" y="4589318"/>
          <a:ext cx="7377488" cy="3949779"/>
        </a:xfrm>
        <a:prstGeom prst="rect">
          <a:avLst/>
        </a:prstGeom>
      </xdr:spPr>
    </xdr:pic>
    <xdr:clientData/>
  </xdr:twoCellAnchor>
  <xdr:twoCellAnchor editAs="oneCell">
    <xdr:from>
      <xdr:col>0</xdr:col>
      <xdr:colOff>0</xdr:colOff>
      <xdr:row>18</xdr:row>
      <xdr:rowOff>9524</xdr:rowOff>
    </xdr:from>
    <xdr:to>
      <xdr:col>6</xdr:col>
      <xdr:colOff>815949</xdr:colOff>
      <xdr:row>36</xdr:row>
      <xdr:rowOff>28575</xdr:rowOff>
    </xdr:to>
    <xdr:pic>
      <xdr:nvPicPr>
        <xdr:cNvPr id="6" name="图片 5">
          <a:extLst>
            <a:ext uri="{FF2B5EF4-FFF2-40B4-BE49-F238E27FC236}">
              <a16:creationId xmlns:a16="http://schemas.microsoft.com/office/drawing/2014/main" id="{D613E850-2DC3-02E5-32E2-C8B63E705BC5}"/>
            </a:ext>
          </a:extLst>
        </xdr:cNvPr>
        <xdr:cNvPicPr>
          <a:picLocks noChangeAspect="1"/>
        </xdr:cNvPicPr>
      </xdr:nvPicPr>
      <xdr:blipFill>
        <a:blip xmlns:r="http://schemas.openxmlformats.org/officeDocument/2006/relationships" r:embed="rId4"/>
        <a:stretch>
          <a:fillRect/>
        </a:stretch>
      </xdr:blipFill>
      <xdr:spPr>
        <a:xfrm>
          <a:off x="0" y="3952874"/>
          <a:ext cx="8645499" cy="5676901"/>
        </a:xfrm>
        <a:prstGeom prst="rect">
          <a:avLst/>
        </a:prstGeom>
      </xdr:spPr>
    </xdr:pic>
    <xdr:clientData/>
  </xdr:twoCellAnchor>
  <xdr:twoCellAnchor editAs="oneCell">
    <xdr:from>
      <xdr:col>4</xdr:col>
      <xdr:colOff>714375</xdr:colOff>
      <xdr:row>2</xdr:row>
      <xdr:rowOff>66675</xdr:rowOff>
    </xdr:from>
    <xdr:to>
      <xdr:col>10</xdr:col>
      <xdr:colOff>28575</xdr:colOff>
      <xdr:row>15</xdr:row>
      <xdr:rowOff>198722</xdr:rowOff>
    </xdr:to>
    <xdr:pic>
      <xdr:nvPicPr>
        <xdr:cNvPr id="13" name="图片 12">
          <a:extLst>
            <a:ext uri="{FF2B5EF4-FFF2-40B4-BE49-F238E27FC236}">
              <a16:creationId xmlns:a16="http://schemas.microsoft.com/office/drawing/2014/main" id="{6D19828F-FC04-B9CA-AC38-9673799C1B6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48400" y="485775"/>
          <a:ext cx="7772400" cy="2713322"/>
        </a:xfrm>
        <a:prstGeom prst="rect">
          <a:avLst/>
        </a:prstGeom>
      </xdr:spPr>
    </xdr:pic>
    <xdr:clientData/>
  </xdr:twoCellAnchor>
  <xdr:twoCellAnchor editAs="oneCell">
    <xdr:from>
      <xdr:col>10</xdr:col>
      <xdr:colOff>520411</xdr:colOff>
      <xdr:row>1</xdr:row>
      <xdr:rowOff>137679</xdr:rowOff>
    </xdr:from>
    <xdr:to>
      <xdr:col>16</xdr:col>
      <xdr:colOff>1170709</xdr:colOff>
      <xdr:row>15</xdr:row>
      <xdr:rowOff>63945</xdr:rowOff>
    </xdr:to>
    <xdr:pic>
      <xdr:nvPicPr>
        <xdr:cNvPr id="15" name="图片 14">
          <a:extLst>
            <a:ext uri="{FF2B5EF4-FFF2-40B4-BE49-F238E27FC236}">
              <a16:creationId xmlns:a16="http://schemas.microsoft.com/office/drawing/2014/main" id="{D193254E-1A54-05C8-8D97-AD249B802D8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002616" y="310861"/>
          <a:ext cx="7759411" cy="2775107"/>
        </a:xfrm>
        <a:prstGeom prst="rect">
          <a:avLst/>
        </a:prstGeom>
      </xdr:spPr>
    </xdr:pic>
    <xdr:clientData/>
  </xdr:twoCellAnchor>
  <xdr:twoCellAnchor editAs="oneCell">
    <xdr:from>
      <xdr:col>17</xdr:col>
      <xdr:colOff>336839</xdr:colOff>
      <xdr:row>0</xdr:row>
      <xdr:rowOff>20782</xdr:rowOff>
    </xdr:from>
    <xdr:to>
      <xdr:col>27</xdr:col>
      <xdr:colOff>546389</xdr:colOff>
      <xdr:row>20</xdr:row>
      <xdr:rowOff>304103</xdr:rowOff>
    </xdr:to>
    <xdr:pic>
      <xdr:nvPicPr>
        <xdr:cNvPr id="18" name="图片 17">
          <a:extLst>
            <a:ext uri="{FF2B5EF4-FFF2-40B4-BE49-F238E27FC236}">
              <a16:creationId xmlns:a16="http://schemas.microsoft.com/office/drawing/2014/main" id="{B28A4010-592C-E065-7944-C03A4D4A79D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2105794" y="20782"/>
          <a:ext cx="7751618" cy="48639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6124;&#24179;&#37329;&#38533;&#19978;&#22478;&#37089;&#21806;&#20215;/&#25972;&#297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39640;&#40527;/&#39033;&#30446;/&#26124;&#24179;&#37329;&#38533;&#19978;&#22478;&#37089;&#21806;&#20215;/&#25972;&#29702;.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651.702197453706" createdVersion="8" refreshedVersion="8" minRefreshableVersion="3" recordCount="653" xr:uid="{33562A85-8166-45D5-B6A9-7B819A8886C9}">
  <cacheSource type="worksheet">
    <worksheetSource ref="A1:K654" sheet="房源表" r:id="rId2"/>
  </cacheSource>
  <cacheFields count="11">
    <cacheField name="序号" numFmtId="0">
      <sharedItems containsSemiMixedTypes="0" containsString="0" containsNumber="1" containsInteger="1" minValue="1" maxValue="653"/>
    </cacheField>
    <cacheField name="楼号" numFmtId="0">
      <sharedItems containsSemiMixedTypes="0" containsString="0" containsNumber="1" containsInteger="1" minValue="1" maxValue="6"/>
    </cacheField>
    <cacheField name="单元" numFmtId="0">
      <sharedItems containsSemiMixedTypes="0" containsString="0" containsNumber="1" containsInteger="1" minValue="1" maxValue="9"/>
    </cacheField>
    <cacheField name="楼层" numFmtId="0">
      <sharedItems containsSemiMixedTypes="0" containsString="0" containsNumber="1" containsInteger="1" minValue="1" maxValue="6" count="6">
        <n v="2"/>
        <n v="3"/>
        <n v="4"/>
        <n v="5"/>
        <n v="6"/>
        <n v="1"/>
      </sharedItems>
    </cacheField>
    <cacheField name="房号" numFmtId="0">
      <sharedItems containsSemiMixedTypes="0" containsString="0" containsNumber="1" containsInteger="1" minValue="101" maxValue="604" count="23">
        <n v="201"/>
        <n v="202"/>
        <n v="203"/>
        <n v="301"/>
        <n v="302"/>
        <n v="303"/>
        <n v="401"/>
        <n v="402"/>
        <n v="403"/>
        <n v="501"/>
        <n v="502"/>
        <n v="503"/>
        <n v="601"/>
        <n v="602"/>
        <n v="603"/>
        <n v="101"/>
        <n v="102"/>
        <n v="103"/>
        <n v="204"/>
        <n v="304"/>
        <n v="404"/>
        <n v="504"/>
        <n v="604"/>
      </sharedItems>
    </cacheField>
    <cacheField name="户型" numFmtId="0">
      <sharedItems count="48">
        <s v="B1"/>
        <s v="C1"/>
        <s v="A1"/>
        <s v="A1反"/>
        <s v="C1反"/>
        <s v="B1反"/>
        <s v="A反"/>
        <s v="C反"/>
        <s v="D"/>
        <s v="E"/>
        <s v="F"/>
        <s v="G"/>
        <s v="A2"/>
        <s v="C"/>
        <s v="B"/>
        <s v="B反"/>
        <s v="H反"/>
        <s v="A2反"/>
        <s v="J"/>
        <s v="M-S"/>
        <s v="L"/>
        <s v="K"/>
        <s v="M"/>
        <s v="A-S反"/>
        <s v="A-S"/>
        <s v="A"/>
        <s v="B-S"/>
        <s v="C-S"/>
        <s v="N"/>
        <s v="P"/>
        <s v="Q"/>
        <s v="R"/>
        <s v="H-S"/>
        <s v="H"/>
        <s v="E反"/>
        <s v="F反"/>
        <s v="G反"/>
        <s v="S"/>
        <s v="H-S反"/>
        <s v="T"/>
        <s v="U"/>
        <s v="X"/>
        <s v="Y"/>
        <s v="K反"/>
        <s v="L反"/>
        <s v="M反"/>
        <s v="V"/>
        <s v="W"/>
      </sharedItems>
    </cacheField>
    <cacheField name="居室" numFmtId="198">
      <sharedItems count="3">
        <s v="二居"/>
        <s v="三居"/>
        <s v="一居"/>
      </sharedItems>
    </cacheField>
    <cacheField name="朝向" numFmtId="198">
      <sharedItems count="7">
        <s v="南北"/>
        <s v="南"/>
        <s v="西北"/>
        <s v="东西"/>
        <s v="西"/>
        <s v="东"/>
        <s v="东北"/>
      </sharedItems>
    </cacheField>
    <cacheField name="建筑面积" numFmtId="179">
      <sharedItems containsSemiMixedTypes="0" containsString="0" containsNumber="1" minValue="54.89" maxValue="89.81" count="79">
        <n v="86.07"/>
        <n v="88.49"/>
        <n v="82.51"/>
        <n v="85.3"/>
        <n v="88.69"/>
        <n v="88.41"/>
        <n v="77.52"/>
        <n v="76.53"/>
        <n v="68.61"/>
        <n v="87.48"/>
        <n v="88.84"/>
        <n v="88.29"/>
        <n v="85.14"/>
        <n v="89.45"/>
        <n v="87.06"/>
        <n v="86.13"/>
        <n v="87.11"/>
        <n v="85.98"/>
        <n v="79.52"/>
        <n v="89.16"/>
        <n v="68.099999999999994"/>
        <n v="87.58"/>
        <n v="60.07"/>
        <n v="68.39"/>
        <n v="82.91"/>
        <n v="86.37"/>
        <n v="83.65"/>
        <n v="79.17"/>
        <n v="64.930000000000007"/>
        <n v="88.65"/>
        <n v="85.86"/>
        <n v="88.25"/>
        <n v="82.48"/>
        <n v="88.46"/>
        <n v="85.26"/>
        <n v="88.95"/>
        <n v="73.06"/>
        <n v="57.3"/>
        <n v="55.66"/>
        <n v="85.22"/>
        <n v="89.41"/>
        <n v="68.67"/>
        <n v="85.39"/>
        <n v="82.34"/>
        <n v="86.51"/>
        <n v="67.92"/>
        <n v="85.78"/>
        <n v="83.07"/>
        <n v="85.02"/>
        <n v="88.02"/>
        <n v="73.010000000000005"/>
        <n v="89.17"/>
        <n v="76.3"/>
        <n v="68.400000000000006"/>
        <n v="87.21"/>
        <n v="81.88"/>
        <n v="84.88"/>
        <n v="85.04"/>
        <n v="88.22"/>
        <n v="82.26"/>
        <n v="88.42"/>
        <n v="88.14"/>
        <n v="77.28"/>
        <n v="72.83"/>
        <n v="87.79"/>
        <n v="62.89"/>
        <n v="54.89"/>
        <n v="88.2"/>
        <n v="88.73"/>
        <n v="88.27"/>
        <n v="85.12"/>
        <n v="88.67"/>
        <n v="89.81"/>
        <n v="69.92"/>
        <n v="61.66"/>
        <n v="62.2"/>
        <n v="89.6"/>
        <n v="85.17"/>
        <n v="85.88"/>
      </sharedItems>
    </cacheField>
    <cacheField name="数量" numFmtId="0">
      <sharedItems containsSemiMixedTypes="0" containsString="0" containsNumber="1" containsInteger="1" minValue="1" maxValue="1"/>
    </cacheField>
    <cacheField name="全房号"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651.703653240744" createdVersion="8" refreshedVersion="8" minRefreshableVersion="3" recordCount="653" xr:uid="{E7558D0A-3082-410B-8E4F-CA638625EBA5}">
  <cacheSource type="worksheet">
    <worksheetSource ref="A1:J654" sheet="房源表" r:id="rId2"/>
  </cacheSource>
  <cacheFields count="10">
    <cacheField name="序号" numFmtId="0">
      <sharedItems containsSemiMixedTypes="0" containsString="0" containsNumber="1" containsInteger="1" minValue="1" maxValue="653"/>
    </cacheField>
    <cacheField name="楼号" numFmtId="0">
      <sharedItems containsSemiMixedTypes="0" containsString="0" containsNumber="1" containsInteger="1" minValue="1" maxValue="6"/>
    </cacheField>
    <cacheField name="单元" numFmtId="0">
      <sharedItems containsSemiMixedTypes="0" containsString="0" containsNumber="1" containsInteger="1" minValue="1" maxValue="9"/>
    </cacheField>
    <cacheField name="楼层" numFmtId="0">
      <sharedItems containsSemiMixedTypes="0" containsString="0" containsNumber="1" containsInteger="1" minValue="1" maxValue="6"/>
    </cacheField>
    <cacheField name="房号" numFmtId="0">
      <sharedItems containsSemiMixedTypes="0" containsString="0" containsNumber="1" containsInteger="1" minValue="101" maxValue="604"/>
    </cacheField>
    <cacheField name="户型" numFmtId="0">
      <sharedItems count="48">
        <s v="B1"/>
        <s v="C1"/>
        <s v="A1"/>
        <s v="A1反"/>
        <s v="C1反"/>
        <s v="B1反"/>
        <s v="A反"/>
        <s v="C反"/>
        <s v="D"/>
        <s v="E"/>
        <s v="F"/>
        <s v="G"/>
        <s v="A2"/>
        <s v="C"/>
        <s v="B"/>
        <s v="B反"/>
        <s v="H反"/>
        <s v="A2反"/>
        <s v="J"/>
        <s v="M-S"/>
        <s v="L"/>
        <s v="K"/>
        <s v="M"/>
        <s v="A-S反"/>
        <s v="A-S"/>
        <s v="A"/>
        <s v="B-S"/>
        <s v="C-S"/>
        <s v="N"/>
        <s v="P"/>
        <s v="Q"/>
        <s v="R"/>
        <s v="H-S"/>
        <s v="H"/>
        <s v="E反"/>
        <s v="F反"/>
        <s v="G反"/>
        <s v="S"/>
        <s v="H-S反"/>
        <s v="T"/>
        <s v="U"/>
        <s v="X"/>
        <s v="Y"/>
        <s v="K反"/>
        <s v="L反"/>
        <s v="M反"/>
        <s v="V"/>
        <s v="W"/>
      </sharedItems>
    </cacheField>
    <cacheField name="居室" numFmtId="198">
      <sharedItems count="3">
        <s v="二居"/>
        <s v="三居"/>
        <s v="一居"/>
      </sharedItems>
    </cacheField>
    <cacheField name="朝向" numFmtId="198">
      <sharedItems count="7">
        <s v="南北"/>
        <s v="南"/>
        <s v="西北"/>
        <s v="东西"/>
        <s v="西"/>
        <s v="东"/>
        <s v="东北"/>
      </sharedItems>
    </cacheField>
    <cacheField name="建筑面积" numFmtId="179">
      <sharedItems containsSemiMixedTypes="0" containsString="0" containsNumber="1" minValue="54.89" maxValue="89.81" count="79">
        <n v="86.07"/>
        <n v="88.49"/>
        <n v="82.51"/>
        <n v="85.3"/>
        <n v="88.69"/>
        <n v="88.41"/>
        <n v="77.52"/>
        <n v="76.53"/>
        <n v="68.61"/>
        <n v="87.48"/>
        <n v="88.84"/>
        <n v="88.29"/>
        <n v="85.14"/>
        <n v="89.45"/>
        <n v="87.06"/>
        <n v="86.13"/>
        <n v="87.11"/>
        <n v="85.98"/>
        <n v="79.52"/>
        <n v="89.16"/>
        <n v="68.099999999999994"/>
        <n v="87.58"/>
        <n v="60.07"/>
        <n v="68.39"/>
        <n v="82.91"/>
        <n v="86.37"/>
        <n v="83.65"/>
        <n v="79.17"/>
        <n v="64.930000000000007"/>
        <n v="88.65"/>
        <n v="85.86"/>
        <n v="88.25"/>
        <n v="82.48"/>
        <n v="88.46"/>
        <n v="85.26"/>
        <n v="88.95"/>
        <n v="73.06"/>
        <n v="57.3"/>
        <n v="55.66"/>
        <n v="85.22"/>
        <n v="89.41"/>
        <n v="68.67"/>
        <n v="85.39"/>
        <n v="82.34"/>
        <n v="86.51"/>
        <n v="67.92"/>
        <n v="85.78"/>
        <n v="83.07"/>
        <n v="85.02"/>
        <n v="88.02"/>
        <n v="73.010000000000005"/>
        <n v="89.17"/>
        <n v="76.3"/>
        <n v="68.400000000000006"/>
        <n v="87.21"/>
        <n v="81.88"/>
        <n v="84.88"/>
        <n v="85.04"/>
        <n v="88.22"/>
        <n v="82.26"/>
        <n v="88.42"/>
        <n v="88.14"/>
        <n v="77.28"/>
        <n v="72.83"/>
        <n v="87.79"/>
        <n v="62.89"/>
        <n v="54.89"/>
        <n v="88.2"/>
        <n v="88.73"/>
        <n v="88.27"/>
        <n v="85.12"/>
        <n v="88.67"/>
        <n v="89.81"/>
        <n v="69.92"/>
        <n v="61.66"/>
        <n v="62.2"/>
        <n v="89.6"/>
        <n v="85.17"/>
        <n v="85.88"/>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3">
  <r>
    <n v="1"/>
    <n v="4"/>
    <n v="1"/>
    <x v="0"/>
    <x v="0"/>
    <x v="0"/>
    <x v="0"/>
    <x v="0"/>
    <x v="0"/>
    <n v="1"/>
    <s v="4-1-201"/>
  </r>
  <r>
    <n v="2"/>
    <n v="4"/>
    <n v="1"/>
    <x v="0"/>
    <x v="1"/>
    <x v="1"/>
    <x v="0"/>
    <x v="1"/>
    <x v="1"/>
    <n v="1"/>
    <s v="4-1-202"/>
  </r>
  <r>
    <n v="3"/>
    <n v="4"/>
    <n v="1"/>
    <x v="0"/>
    <x v="2"/>
    <x v="2"/>
    <x v="0"/>
    <x v="0"/>
    <x v="2"/>
    <n v="1"/>
    <s v="4-1-203"/>
  </r>
  <r>
    <n v="4"/>
    <n v="4"/>
    <n v="1"/>
    <x v="1"/>
    <x v="3"/>
    <x v="0"/>
    <x v="0"/>
    <x v="0"/>
    <x v="0"/>
    <n v="1"/>
    <s v="4-1-301"/>
  </r>
  <r>
    <n v="5"/>
    <n v="4"/>
    <n v="1"/>
    <x v="1"/>
    <x v="4"/>
    <x v="1"/>
    <x v="0"/>
    <x v="1"/>
    <x v="1"/>
    <n v="1"/>
    <s v="4-1-302"/>
  </r>
  <r>
    <n v="6"/>
    <n v="4"/>
    <n v="1"/>
    <x v="1"/>
    <x v="5"/>
    <x v="2"/>
    <x v="0"/>
    <x v="0"/>
    <x v="2"/>
    <n v="1"/>
    <s v="4-1-303"/>
  </r>
  <r>
    <n v="7"/>
    <n v="4"/>
    <n v="1"/>
    <x v="2"/>
    <x v="6"/>
    <x v="0"/>
    <x v="0"/>
    <x v="0"/>
    <x v="0"/>
    <n v="1"/>
    <s v="4-1-401"/>
  </r>
  <r>
    <n v="8"/>
    <n v="4"/>
    <n v="1"/>
    <x v="2"/>
    <x v="7"/>
    <x v="1"/>
    <x v="0"/>
    <x v="1"/>
    <x v="1"/>
    <n v="1"/>
    <s v="4-1-402"/>
  </r>
  <r>
    <n v="9"/>
    <n v="4"/>
    <n v="1"/>
    <x v="2"/>
    <x v="8"/>
    <x v="2"/>
    <x v="0"/>
    <x v="0"/>
    <x v="2"/>
    <n v="1"/>
    <s v="4-1-403"/>
  </r>
  <r>
    <n v="10"/>
    <n v="4"/>
    <n v="1"/>
    <x v="3"/>
    <x v="9"/>
    <x v="0"/>
    <x v="0"/>
    <x v="0"/>
    <x v="0"/>
    <n v="1"/>
    <s v="4-1-501"/>
  </r>
  <r>
    <n v="11"/>
    <n v="4"/>
    <n v="1"/>
    <x v="3"/>
    <x v="10"/>
    <x v="1"/>
    <x v="0"/>
    <x v="1"/>
    <x v="1"/>
    <n v="1"/>
    <s v="4-1-502"/>
  </r>
  <r>
    <n v="12"/>
    <n v="4"/>
    <n v="1"/>
    <x v="3"/>
    <x v="11"/>
    <x v="2"/>
    <x v="0"/>
    <x v="0"/>
    <x v="2"/>
    <n v="1"/>
    <s v="4-1-503"/>
  </r>
  <r>
    <n v="13"/>
    <n v="4"/>
    <n v="1"/>
    <x v="4"/>
    <x v="12"/>
    <x v="0"/>
    <x v="0"/>
    <x v="0"/>
    <x v="0"/>
    <n v="1"/>
    <s v="4-1-601"/>
  </r>
  <r>
    <n v="14"/>
    <n v="4"/>
    <n v="1"/>
    <x v="4"/>
    <x v="13"/>
    <x v="1"/>
    <x v="0"/>
    <x v="1"/>
    <x v="1"/>
    <n v="1"/>
    <s v="4-1-602"/>
  </r>
  <r>
    <n v="15"/>
    <n v="4"/>
    <n v="1"/>
    <x v="4"/>
    <x v="14"/>
    <x v="2"/>
    <x v="0"/>
    <x v="0"/>
    <x v="2"/>
    <n v="1"/>
    <s v="4-1-603"/>
  </r>
  <r>
    <n v="16"/>
    <n v="4"/>
    <n v="2"/>
    <x v="0"/>
    <x v="0"/>
    <x v="3"/>
    <x v="0"/>
    <x v="0"/>
    <x v="2"/>
    <n v="1"/>
    <s v="4-2-201"/>
  </r>
  <r>
    <n v="17"/>
    <n v="4"/>
    <n v="2"/>
    <x v="0"/>
    <x v="1"/>
    <x v="4"/>
    <x v="0"/>
    <x v="1"/>
    <x v="1"/>
    <n v="1"/>
    <s v="4-2-202"/>
  </r>
  <r>
    <n v="18"/>
    <n v="4"/>
    <n v="2"/>
    <x v="0"/>
    <x v="2"/>
    <x v="5"/>
    <x v="0"/>
    <x v="0"/>
    <x v="3"/>
    <n v="1"/>
    <s v="4-2-203"/>
  </r>
  <r>
    <n v="19"/>
    <n v="4"/>
    <n v="2"/>
    <x v="1"/>
    <x v="3"/>
    <x v="3"/>
    <x v="0"/>
    <x v="0"/>
    <x v="2"/>
    <n v="1"/>
    <s v="4-2-301"/>
  </r>
  <r>
    <n v="20"/>
    <n v="4"/>
    <n v="2"/>
    <x v="1"/>
    <x v="4"/>
    <x v="4"/>
    <x v="0"/>
    <x v="1"/>
    <x v="1"/>
    <n v="1"/>
    <s v="4-2-302"/>
  </r>
  <r>
    <n v="21"/>
    <n v="4"/>
    <n v="2"/>
    <x v="1"/>
    <x v="5"/>
    <x v="5"/>
    <x v="0"/>
    <x v="0"/>
    <x v="3"/>
    <n v="1"/>
    <s v="4-2-303"/>
  </r>
  <r>
    <n v="22"/>
    <n v="4"/>
    <n v="2"/>
    <x v="2"/>
    <x v="6"/>
    <x v="3"/>
    <x v="0"/>
    <x v="0"/>
    <x v="2"/>
    <n v="1"/>
    <m/>
  </r>
  <r>
    <n v="23"/>
    <n v="4"/>
    <n v="2"/>
    <x v="2"/>
    <x v="7"/>
    <x v="4"/>
    <x v="0"/>
    <x v="1"/>
    <x v="1"/>
    <n v="1"/>
    <m/>
  </r>
  <r>
    <n v="24"/>
    <n v="4"/>
    <n v="2"/>
    <x v="2"/>
    <x v="8"/>
    <x v="5"/>
    <x v="0"/>
    <x v="0"/>
    <x v="3"/>
    <n v="1"/>
    <m/>
  </r>
  <r>
    <n v="25"/>
    <n v="4"/>
    <n v="2"/>
    <x v="3"/>
    <x v="9"/>
    <x v="3"/>
    <x v="0"/>
    <x v="0"/>
    <x v="2"/>
    <n v="1"/>
    <m/>
  </r>
  <r>
    <n v="26"/>
    <n v="4"/>
    <n v="2"/>
    <x v="3"/>
    <x v="10"/>
    <x v="4"/>
    <x v="0"/>
    <x v="1"/>
    <x v="1"/>
    <n v="1"/>
    <m/>
  </r>
  <r>
    <n v="27"/>
    <n v="4"/>
    <n v="2"/>
    <x v="3"/>
    <x v="11"/>
    <x v="5"/>
    <x v="0"/>
    <x v="0"/>
    <x v="3"/>
    <n v="1"/>
    <m/>
  </r>
  <r>
    <n v="28"/>
    <n v="4"/>
    <n v="2"/>
    <x v="4"/>
    <x v="12"/>
    <x v="3"/>
    <x v="0"/>
    <x v="0"/>
    <x v="2"/>
    <n v="1"/>
    <m/>
  </r>
  <r>
    <n v="29"/>
    <n v="4"/>
    <n v="2"/>
    <x v="4"/>
    <x v="13"/>
    <x v="4"/>
    <x v="0"/>
    <x v="1"/>
    <x v="1"/>
    <n v="1"/>
    <m/>
  </r>
  <r>
    <n v="30"/>
    <n v="4"/>
    <n v="2"/>
    <x v="4"/>
    <x v="14"/>
    <x v="5"/>
    <x v="0"/>
    <x v="0"/>
    <x v="3"/>
    <n v="1"/>
    <m/>
  </r>
  <r>
    <n v="31"/>
    <n v="4"/>
    <n v="3"/>
    <x v="0"/>
    <x v="0"/>
    <x v="0"/>
    <x v="0"/>
    <x v="0"/>
    <x v="3"/>
    <n v="1"/>
    <m/>
  </r>
  <r>
    <n v="32"/>
    <n v="4"/>
    <n v="3"/>
    <x v="0"/>
    <x v="1"/>
    <x v="1"/>
    <x v="0"/>
    <x v="1"/>
    <x v="1"/>
    <n v="1"/>
    <m/>
  </r>
  <r>
    <n v="33"/>
    <n v="4"/>
    <n v="3"/>
    <x v="0"/>
    <x v="2"/>
    <x v="2"/>
    <x v="0"/>
    <x v="0"/>
    <x v="2"/>
    <n v="1"/>
    <m/>
  </r>
  <r>
    <n v="34"/>
    <n v="4"/>
    <n v="3"/>
    <x v="1"/>
    <x v="3"/>
    <x v="0"/>
    <x v="0"/>
    <x v="0"/>
    <x v="3"/>
    <n v="1"/>
    <m/>
  </r>
  <r>
    <n v="35"/>
    <n v="4"/>
    <n v="3"/>
    <x v="1"/>
    <x v="4"/>
    <x v="1"/>
    <x v="0"/>
    <x v="1"/>
    <x v="1"/>
    <n v="1"/>
    <m/>
  </r>
  <r>
    <n v="36"/>
    <n v="4"/>
    <n v="3"/>
    <x v="1"/>
    <x v="5"/>
    <x v="2"/>
    <x v="0"/>
    <x v="0"/>
    <x v="2"/>
    <n v="1"/>
    <m/>
  </r>
  <r>
    <n v="37"/>
    <n v="4"/>
    <n v="3"/>
    <x v="2"/>
    <x v="6"/>
    <x v="0"/>
    <x v="0"/>
    <x v="0"/>
    <x v="3"/>
    <n v="1"/>
    <m/>
  </r>
  <r>
    <n v="38"/>
    <n v="4"/>
    <n v="3"/>
    <x v="2"/>
    <x v="7"/>
    <x v="1"/>
    <x v="0"/>
    <x v="1"/>
    <x v="1"/>
    <n v="1"/>
    <m/>
  </r>
  <r>
    <n v="39"/>
    <n v="4"/>
    <n v="3"/>
    <x v="2"/>
    <x v="8"/>
    <x v="2"/>
    <x v="0"/>
    <x v="0"/>
    <x v="2"/>
    <n v="1"/>
    <m/>
  </r>
  <r>
    <n v="40"/>
    <n v="4"/>
    <n v="3"/>
    <x v="3"/>
    <x v="9"/>
    <x v="0"/>
    <x v="0"/>
    <x v="0"/>
    <x v="3"/>
    <n v="1"/>
    <m/>
  </r>
  <r>
    <n v="41"/>
    <n v="4"/>
    <n v="3"/>
    <x v="3"/>
    <x v="10"/>
    <x v="1"/>
    <x v="0"/>
    <x v="1"/>
    <x v="1"/>
    <n v="1"/>
    <m/>
  </r>
  <r>
    <n v="42"/>
    <n v="4"/>
    <n v="3"/>
    <x v="3"/>
    <x v="11"/>
    <x v="2"/>
    <x v="0"/>
    <x v="0"/>
    <x v="2"/>
    <n v="1"/>
    <m/>
  </r>
  <r>
    <n v="43"/>
    <n v="4"/>
    <n v="3"/>
    <x v="4"/>
    <x v="12"/>
    <x v="0"/>
    <x v="0"/>
    <x v="0"/>
    <x v="3"/>
    <n v="1"/>
    <m/>
  </r>
  <r>
    <n v="44"/>
    <n v="4"/>
    <n v="3"/>
    <x v="4"/>
    <x v="13"/>
    <x v="1"/>
    <x v="0"/>
    <x v="1"/>
    <x v="1"/>
    <n v="1"/>
    <m/>
  </r>
  <r>
    <n v="45"/>
    <n v="4"/>
    <n v="3"/>
    <x v="4"/>
    <x v="14"/>
    <x v="2"/>
    <x v="0"/>
    <x v="0"/>
    <x v="2"/>
    <n v="1"/>
    <m/>
  </r>
  <r>
    <n v="46"/>
    <n v="4"/>
    <n v="4"/>
    <x v="0"/>
    <x v="0"/>
    <x v="6"/>
    <x v="0"/>
    <x v="0"/>
    <x v="4"/>
    <n v="1"/>
    <m/>
  </r>
  <r>
    <n v="47"/>
    <n v="4"/>
    <n v="4"/>
    <x v="0"/>
    <x v="1"/>
    <x v="7"/>
    <x v="0"/>
    <x v="1"/>
    <x v="5"/>
    <n v="1"/>
    <m/>
  </r>
  <r>
    <n v="48"/>
    <n v="4"/>
    <n v="4"/>
    <x v="0"/>
    <x v="2"/>
    <x v="8"/>
    <x v="0"/>
    <x v="0"/>
    <x v="6"/>
    <n v="1"/>
    <m/>
  </r>
  <r>
    <n v="49"/>
    <n v="4"/>
    <n v="4"/>
    <x v="1"/>
    <x v="3"/>
    <x v="6"/>
    <x v="0"/>
    <x v="0"/>
    <x v="4"/>
    <n v="1"/>
    <m/>
  </r>
  <r>
    <n v="50"/>
    <n v="4"/>
    <n v="4"/>
    <x v="1"/>
    <x v="4"/>
    <x v="7"/>
    <x v="0"/>
    <x v="1"/>
    <x v="5"/>
    <n v="1"/>
    <m/>
  </r>
  <r>
    <n v="51"/>
    <n v="4"/>
    <n v="4"/>
    <x v="1"/>
    <x v="5"/>
    <x v="8"/>
    <x v="0"/>
    <x v="0"/>
    <x v="6"/>
    <n v="1"/>
    <m/>
  </r>
  <r>
    <n v="52"/>
    <n v="4"/>
    <n v="4"/>
    <x v="2"/>
    <x v="6"/>
    <x v="6"/>
    <x v="0"/>
    <x v="0"/>
    <x v="4"/>
    <n v="1"/>
    <m/>
  </r>
  <r>
    <n v="53"/>
    <n v="4"/>
    <n v="4"/>
    <x v="2"/>
    <x v="7"/>
    <x v="7"/>
    <x v="0"/>
    <x v="1"/>
    <x v="5"/>
    <n v="1"/>
    <m/>
  </r>
  <r>
    <n v="54"/>
    <n v="4"/>
    <n v="4"/>
    <x v="2"/>
    <x v="8"/>
    <x v="8"/>
    <x v="0"/>
    <x v="0"/>
    <x v="6"/>
    <n v="1"/>
    <m/>
  </r>
  <r>
    <n v="55"/>
    <n v="4"/>
    <n v="4"/>
    <x v="3"/>
    <x v="9"/>
    <x v="6"/>
    <x v="0"/>
    <x v="0"/>
    <x v="4"/>
    <n v="1"/>
    <m/>
  </r>
  <r>
    <n v="56"/>
    <n v="4"/>
    <n v="4"/>
    <x v="3"/>
    <x v="10"/>
    <x v="7"/>
    <x v="0"/>
    <x v="1"/>
    <x v="5"/>
    <n v="1"/>
    <m/>
  </r>
  <r>
    <n v="57"/>
    <n v="4"/>
    <n v="4"/>
    <x v="3"/>
    <x v="11"/>
    <x v="8"/>
    <x v="0"/>
    <x v="0"/>
    <x v="6"/>
    <n v="1"/>
    <m/>
  </r>
  <r>
    <n v="58"/>
    <n v="4"/>
    <n v="4"/>
    <x v="4"/>
    <x v="12"/>
    <x v="6"/>
    <x v="0"/>
    <x v="0"/>
    <x v="4"/>
    <n v="1"/>
    <m/>
  </r>
  <r>
    <n v="59"/>
    <n v="4"/>
    <n v="4"/>
    <x v="4"/>
    <x v="13"/>
    <x v="7"/>
    <x v="0"/>
    <x v="1"/>
    <x v="5"/>
    <n v="1"/>
    <m/>
  </r>
  <r>
    <n v="60"/>
    <n v="4"/>
    <n v="4"/>
    <x v="4"/>
    <x v="14"/>
    <x v="8"/>
    <x v="0"/>
    <x v="0"/>
    <x v="6"/>
    <n v="1"/>
    <m/>
  </r>
  <r>
    <n v="61"/>
    <n v="4"/>
    <n v="5"/>
    <x v="0"/>
    <x v="0"/>
    <x v="9"/>
    <x v="0"/>
    <x v="0"/>
    <x v="7"/>
    <n v="1"/>
    <m/>
  </r>
  <r>
    <n v="62"/>
    <n v="4"/>
    <n v="5"/>
    <x v="0"/>
    <x v="1"/>
    <x v="10"/>
    <x v="0"/>
    <x v="2"/>
    <x v="8"/>
    <n v="1"/>
    <m/>
  </r>
  <r>
    <n v="63"/>
    <n v="4"/>
    <n v="5"/>
    <x v="0"/>
    <x v="2"/>
    <x v="11"/>
    <x v="1"/>
    <x v="3"/>
    <x v="9"/>
    <n v="1"/>
    <m/>
  </r>
  <r>
    <n v="64"/>
    <n v="4"/>
    <n v="5"/>
    <x v="1"/>
    <x v="3"/>
    <x v="9"/>
    <x v="0"/>
    <x v="0"/>
    <x v="7"/>
    <n v="1"/>
    <m/>
  </r>
  <r>
    <n v="65"/>
    <n v="4"/>
    <n v="5"/>
    <x v="1"/>
    <x v="4"/>
    <x v="10"/>
    <x v="0"/>
    <x v="2"/>
    <x v="8"/>
    <n v="1"/>
    <m/>
  </r>
  <r>
    <n v="66"/>
    <n v="4"/>
    <n v="5"/>
    <x v="1"/>
    <x v="5"/>
    <x v="11"/>
    <x v="1"/>
    <x v="3"/>
    <x v="9"/>
    <n v="1"/>
    <m/>
  </r>
  <r>
    <n v="67"/>
    <n v="4"/>
    <n v="5"/>
    <x v="2"/>
    <x v="6"/>
    <x v="9"/>
    <x v="0"/>
    <x v="0"/>
    <x v="7"/>
    <n v="1"/>
    <m/>
  </r>
  <r>
    <n v="68"/>
    <n v="4"/>
    <n v="5"/>
    <x v="2"/>
    <x v="7"/>
    <x v="10"/>
    <x v="0"/>
    <x v="2"/>
    <x v="8"/>
    <n v="1"/>
    <m/>
  </r>
  <r>
    <n v="69"/>
    <n v="4"/>
    <n v="5"/>
    <x v="2"/>
    <x v="8"/>
    <x v="11"/>
    <x v="1"/>
    <x v="3"/>
    <x v="9"/>
    <n v="1"/>
    <m/>
  </r>
  <r>
    <n v="70"/>
    <n v="4"/>
    <n v="5"/>
    <x v="3"/>
    <x v="9"/>
    <x v="9"/>
    <x v="0"/>
    <x v="0"/>
    <x v="7"/>
    <n v="1"/>
    <m/>
  </r>
  <r>
    <n v="71"/>
    <n v="4"/>
    <n v="5"/>
    <x v="3"/>
    <x v="10"/>
    <x v="10"/>
    <x v="0"/>
    <x v="2"/>
    <x v="8"/>
    <n v="1"/>
    <m/>
  </r>
  <r>
    <n v="72"/>
    <n v="4"/>
    <n v="5"/>
    <x v="3"/>
    <x v="11"/>
    <x v="11"/>
    <x v="1"/>
    <x v="3"/>
    <x v="9"/>
    <n v="1"/>
    <m/>
  </r>
  <r>
    <n v="73"/>
    <n v="4"/>
    <n v="5"/>
    <x v="4"/>
    <x v="12"/>
    <x v="9"/>
    <x v="0"/>
    <x v="0"/>
    <x v="7"/>
    <n v="1"/>
    <m/>
  </r>
  <r>
    <n v="74"/>
    <n v="4"/>
    <n v="5"/>
    <x v="4"/>
    <x v="13"/>
    <x v="10"/>
    <x v="0"/>
    <x v="2"/>
    <x v="8"/>
    <n v="1"/>
    <m/>
  </r>
  <r>
    <n v="75"/>
    <n v="4"/>
    <n v="5"/>
    <x v="4"/>
    <x v="14"/>
    <x v="11"/>
    <x v="1"/>
    <x v="3"/>
    <x v="9"/>
    <n v="1"/>
    <m/>
  </r>
  <r>
    <n v="76"/>
    <n v="4"/>
    <n v="6"/>
    <x v="0"/>
    <x v="0"/>
    <x v="12"/>
    <x v="0"/>
    <x v="3"/>
    <x v="10"/>
    <n v="1"/>
    <m/>
  </r>
  <r>
    <n v="77"/>
    <n v="4"/>
    <n v="6"/>
    <x v="0"/>
    <x v="1"/>
    <x v="13"/>
    <x v="0"/>
    <x v="4"/>
    <x v="11"/>
    <n v="1"/>
    <m/>
  </r>
  <r>
    <n v="78"/>
    <n v="4"/>
    <n v="6"/>
    <x v="0"/>
    <x v="2"/>
    <x v="14"/>
    <x v="0"/>
    <x v="3"/>
    <x v="12"/>
    <n v="1"/>
    <m/>
  </r>
  <r>
    <n v="79"/>
    <n v="4"/>
    <n v="6"/>
    <x v="1"/>
    <x v="3"/>
    <x v="12"/>
    <x v="0"/>
    <x v="3"/>
    <x v="10"/>
    <n v="1"/>
    <m/>
  </r>
  <r>
    <n v="80"/>
    <n v="4"/>
    <n v="6"/>
    <x v="1"/>
    <x v="4"/>
    <x v="13"/>
    <x v="0"/>
    <x v="4"/>
    <x v="11"/>
    <n v="1"/>
    <m/>
  </r>
  <r>
    <n v="81"/>
    <n v="4"/>
    <n v="6"/>
    <x v="1"/>
    <x v="5"/>
    <x v="14"/>
    <x v="0"/>
    <x v="3"/>
    <x v="12"/>
    <n v="1"/>
    <m/>
  </r>
  <r>
    <n v="82"/>
    <n v="4"/>
    <n v="6"/>
    <x v="2"/>
    <x v="6"/>
    <x v="12"/>
    <x v="0"/>
    <x v="3"/>
    <x v="10"/>
    <n v="1"/>
    <m/>
  </r>
  <r>
    <n v="83"/>
    <n v="4"/>
    <n v="6"/>
    <x v="2"/>
    <x v="7"/>
    <x v="13"/>
    <x v="0"/>
    <x v="4"/>
    <x v="11"/>
    <n v="1"/>
    <m/>
  </r>
  <r>
    <n v="84"/>
    <n v="4"/>
    <n v="6"/>
    <x v="2"/>
    <x v="8"/>
    <x v="14"/>
    <x v="0"/>
    <x v="3"/>
    <x v="12"/>
    <n v="1"/>
    <m/>
  </r>
  <r>
    <n v="85"/>
    <n v="4"/>
    <n v="6"/>
    <x v="3"/>
    <x v="9"/>
    <x v="12"/>
    <x v="0"/>
    <x v="3"/>
    <x v="10"/>
    <n v="1"/>
    <m/>
  </r>
  <r>
    <n v="86"/>
    <n v="4"/>
    <n v="6"/>
    <x v="3"/>
    <x v="10"/>
    <x v="13"/>
    <x v="0"/>
    <x v="4"/>
    <x v="11"/>
    <n v="1"/>
    <m/>
  </r>
  <r>
    <n v="87"/>
    <n v="4"/>
    <n v="6"/>
    <x v="3"/>
    <x v="11"/>
    <x v="14"/>
    <x v="0"/>
    <x v="3"/>
    <x v="12"/>
    <n v="1"/>
    <m/>
  </r>
  <r>
    <n v="88"/>
    <n v="4"/>
    <n v="6"/>
    <x v="4"/>
    <x v="12"/>
    <x v="12"/>
    <x v="0"/>
    <x v="3"/>
    <x v="10"/>
    <n v="1"/>
    <m/>
  </r>
  <r>
    <n v="89"/>
    <n v="4"/>
    <n v="6"/>
    <x v="4"/>
    <x v="13"/>
    <x v="13"/>
    <x v="0"/>
    <x v="4"/>
    <x v="11"/>
    <n v="1"/>
    <m/>
  </r>
  <r>
    <n v="90"/>
    <n v="4"/>
    <n v="6"/>
    <x v="4"/>
    <x v="14"/>
    <x v="14"/>
    <x v="0"/>
    <x v="3"/>
    <x v="12"/>
    <n v="1"/>
    <m/>
  </r>
  <r>
    <n v="91"/>
    <n v="4"/>
    <n v="7"/>
    <x v="0"/>
    <x v="0"/>
    <x v="15"/>
    <x v="0"/>
    <x v="3"/>
    <x v="12"/>
    <n v="1"/>
    <m/>
  </r>
  <r>
    <n v="92"/>
    <n v="4"/>
    <n v="7"/>
    <x v="0"/>
    <x v="1"/>
    <x v="7"/>
    <x v="0"/>
    <x v="4"/>
    <x v="11"/>
    <n v="1"/>
    <m/>
  </r>
  <r>
    <n v="93"/>
    <n v="4"/>
    <n v="7"/>
    <x v="0"/>
    <x v="2"/>
    <x v="16"/>
    <x v="0"/>
    <x v="1"/>
    <x v="13"/>
    <n v="1"/>
    <m/>
  </r>
  <r>
    <n v="94"/>
    <n v="4"/>
    <n v="7"/>
    <x v="1"/>
    <x v="3"/>
    <x v="15"/>
    <x v="0"/>
    <x v="3"/>
    <x v="12"/>
    <n v="1"/>
    <m/>
  </r>
  <r>
    <n v="95"/>
    <n v="4"/>
    <n v="7"/>
    <x v="1"/>
    <x v="4"/>
    <x v="7"/>
    <x v="0"/>
    <x v="4"/>
    <x v="11"/>
    <n v="1"/>
    <m/>
  </r>
  <r>
    <n v="96"/>
    <n v="4"/>
    <n v="7"/>
    <x v="1"/>
    <x v="5"/>
    <x v="16"/>
    <x v="0"/>
    <x v="1"/>
    <x v="13"/>
    <n v="1"/>
    <m/>
  </r>
  <r>
    <n v="97"/>
    <n v="4"/>
    <n v="7"/>
    <x v="2"/>
    <x v="6"/>
    <x v="15"/>
    <x v="0"/>
    <x v="3"/>
    <x v="12"/>
    <n v="1"/>
    <m/>
  </r>
  <r>
    <n v="98"/>
    <n v="4"/>
    <n v="7"/>
    <x v="2"/>
    <x v="7"/>
    <x v="7"/>
    <x v="0"/>
    <x v="4"/>
    <x v="11"/>
    <n v="1"/>
    <m/>
  </r>
  <r>
    <n v="99"/>
    <n v="4"/>
    <n v="7"/>
    <x v="2"/>
    <x v="8"/>
    <x v="16"/>
    <x v="0"/>
    <x v="1"/>
    <x v="13"/>
    <n v="1"/>
    <m/>
  </r>
  <r>
    <n v="100"/>
    <n v="4"/>
    <n v="7"/>
    <x v="3"/>
    <x v="9"/>
    <x v="15"/>
    <x v="0"/>
    <x v="3"/>
    <x v="12"/>
    <n v="1"/>
    <m/>
  </r>
  <r>
    <n v="101"/>
    <n v="4"/>
    <n v="7"/>
    <x v="3"/>
    <x v="10"/>
    <x v="7"/>
    <x v="0"/>
    <x v="4"/>
    <x v="11"/>
    <n v="1"/>
    <m/>
  </r>
  <r>
    <n v="102"/>
    <n v="4"/>
    <n v="7"/>
    <x v="3"/>
    <x v="11"/>
    <x v="16"/>
    <x v="0"/>
    <x v="1"/>
    <x v="13"/>
    <n v="1"/>
    <m/>
  </r>
  <r>
    <n v="103"/>
    <n v="4"/>
    <n v="7"/>
    <x v="4"/>
    <x v="12"/>
    <x v="15"/>
    <x v="0"/>
    <x v="3"/>
    <x v="12"/>
    <n v="1"/>
    <m/>
  </r>
  <r>
    <n v="104"/>
    <n v="4"/>
    <n v="7"/>
    <x v="4"/>
    <x v="13"/>
    <x v="7"/>
    <x v="0"/>
    <x v="4"/>
    <x v="11"/>
    <n v="1"/>
    <m/>
  </r>
  <r>
    <n v="105"/>
    <n v="4"/>
    <n v="7"/>
    <x v="4"/>
    <x v="14"/>
    <x v="16"/>
    <x v="0"/>
    <x v="1"/>
    <x v="13"/>
    <n v="1"/>
    <m/>
  </r>
  <r>
    <n v="106"/>
    <n v="5"/>
    <n v="1"/>
    <x v="5"/>
    <x v="15"/>
    <x v="17"/>
    <x v="0"/>
    <x v="3"/>
    <x v="14"/>
    <n v="1"/>
    <m/>
  </r>
  <r>
    <n v="107"/>
    <n v="5"/>
    <n v="1"/>
    <x v="5"/>
    <x v="16"/>
    <x v="7"/>
    <x v="0"/>
    <x v="5"/>
    <x v="15"/>
    <n v="1"/>
    <m/>
  </r>
  <r>
    <n v="108"/>
    <n v="5"/>
    <n v="1"/>
    <x v="0"/>
    <x v="0"/>
    <x v="17"/>
    <x v="0"/>
    <x v="3"/>
    <x v="16"/>
    <n v="1"/>
    <m/>
  </r>
  <r>
    <n v="109"/>
    <n v="5"/>
    <n v="1"/>
    <x v="0"/>
    <x v="1"/>
    <x v="7"/>
    <x v="0"/>
    <x v="5"/>
    <x v="17"/>
    <n v="1"/>
    <m/>
  </r>
  <r>
    <n v="110"/>
    <n v="5"/>
    <n v="1"/>
    <x v="0"/>
    <x v="2"/>
    <x v="18"/>
    <x v="0"/>
    <x v="3"/>
    <x v="18"/>
    <n v="1"/>
    <m/>
  </r>
  <r>
    <n v="111"/>
    <n v="5"/>
    <n v="1"/>
    <x v="1"/>
    <x v="3"/>
    <x v="17"/>
    <x v="0"/>
    <x v="3"/>
    <x v="16"/>
    <n v="1"/>
    <m/>
  </r>
  <r>
    <n v="112"/>
    <n v="5"/>
    <n v="1"/>
    <x v="1"/>
    <x v="4"/>
    <x v="7"/>
    <x v="0"/>
    <x v="5"/>
    <x v="17"/>
    <n v="1"/>
    <m/>
  </r>
  <r>
    <n v="113"/>
    <n v="5"/>
    <n v="1"/>
    <x v="1"/>
    <x v="5"/>
    <x v="18"/>
    <x v="0"/>
    <x v="3"/>
    <x v="18"/>
    <n v="1"/>
    <m/>
  </r>
  <r>
    <n v="114"/>
    <n v="5"/>
    <n v="1"/>
    <x v="2"/>
    <x v="6"/>
    <x v="17"/>
    <x v="0"/>
    <x v="3"/>
    <x v="16"/>
    <n v="1"/>
    <m/>
  </r>
  <r>
    <n v="115"/>
    <n v="5"/>
    <n v="1"/>
    <x v="2"/>
    <x v="7"/>
    <x v="7"/>
    <x v="0"/>
    <x v="5"/>
    <x v="17"/>
    <n v="1"/>
    <m/>
  </r>
  <r>
    <n v="116"/>
    <n v="5"/>
    <n v="1"/>
    <x v="2"/>
    <x v="8"/>
    <x v="18"/>
    <x v="0"/>
    <x v="3"/>
    <x v="18"/>
    <n v="1"/>
    <m/>
  </r>
  <r>
    <n v="117"/>
    <n v="5"/>
    <n v="1"/>
    <x v="3"/>
    <x v="9"/>
    <x v="17"/>
    <x v="0"/>
    <x v="3"/>
    <x v="16"/>
    <n v="1"/>
    <m/>
  </r>
  <r>
    <n v="118"/>
    <n v="5"/>
    <n v="1"/>
    <x v="3"/>
    <x v="10"/>
    <x v="7"/>
    <x v="0"/>
    <x v="5"/>
    <x v="17"/>
    <n v="1"/>
    <m/>
  </r>
  <r>
    <n v="119"/>
    <n v="5"/>
    <n v="1"/>
    <x v="3"/>
    <x v="11"/>
    <x v="18"/>
    <x v="0"/>
    <x v="3"/>
    <x v="18"/>
    <n v="1"/>
    <m/>
  </r>
  <r>
    <n v="120"/>
    <n v="5"/>
    <n v="1"/>
    <x v="4"/>
    <x v="12"/>
    <x v="17"/>
    <x v="0"/>
    <x v="3"/>
    <x v="16"/>
    <n v="1"/>
    <m/>
  </r>
  <r>
    <n v="121"/>
    <n v="5"/>
    <n v="1"/>
    <x v="4"/>
    <x v="13"/>
    <x v="7"/>
    <x v="0"/>
    <x v="5"/>
    <x v="17"/>
    <n v="1"/>
    <m/>
  </r>
  <r>
    <n v="122"/>
    <n v="5"/>
    <n v="1"/>
    <x v="4"/>
    <x v="14"/>
    <x v="18"/>
    <x v="0"/>
    <x v="3"/>
    <x v="18"/>
    <n v="1"/>
    <m/>
  </r>
  <r>
    <n v="123"/>
    <n v="5"/>
    <n v="2"/>
    <x v="5"/>
    <x v="15"/>
    <x v="19"/>
    <x v="0"/>
    <x v="5"/>
    <x v="19"/>
    <n v="1"/>
    <m/>
  </r>
  <r>
    <n v="124"/>
    <n v="5"/>
    <n v="2"/>
    <x v="5"/>
    <x v="16"/>
    <x v="20"/>
    <x v="2"/>
    <x v="1"/>
    <x v="20"/>
    <n v="1"/>
    <m/>
  </r>
  <r>
    <n v="125"/>
    <n v="5"/>
    <n v="2"/>
    <x v="5"/>
    <x v="17"/>
    <x v="21"/>
    <x v="0"/>
    <x v="0"/>
    <x v="21"/>
    <n v="1"/>
    <m/>
  </r>
  <r>
    <n v="126"/>
    <n v="5"/>
    <n v="2"/>
    <x v="0"/>
    <x v="0"/>
    <x v="22"/>
    <x v="2"/>
    <x v="5"/>
    <x v="22"/>
    <n v="1"/>
    <m/>
  </r>
  <r>
    <n v="127"/>
    <n v="5"/>
    <n v="2"/>
    <x v="0"/>
    <x v="1"/>
    <x v="20"/>
    <x v="2"/>
    <x v="1"/>
    <x v="20"/>
    <n v="1"/>
    <m/>
  </r>
  <r>
    <n v="128"/>
    <n v="5"/>
    <n v="2"/>
    <x v="0"/>
    <x v="2"/>
    <x v="21"/>
    <x v="0"/>
    <x v="0"/>
    <x v="21"/>
    <n v="1"/>
    <m/>
  </r>
  <r>
    <n v="129"/>
    <n v="5"/>
    <n v="2"/>
    <x v="1"/>
    <x v="3"/>
    <x v="22"/>
    <x v="2"/>
    <x v="5"/>
    <x v="22"/>
    <n v="1"/>
    <m/>
  </r>
  <r>
    <n v="130"/>
    <n v="5"/>
    <n v="2"/>
    <x v="1"/>
    <x v="4"/>
    <x v="20"/>
    <x v="2"/>
    <x v="1"/>
    <x v="20"/>
    <n v="1"/>
    <m/>
  </r>
  <r>
    <n v="131"/>
    <n v="5"/>
    <n v="2"/>
    <x v="1"/>
    <x v="5"/>
    <x v="21"/>
    <x v="0"/>
    <x v="0"/>
    <x v="21"/>
    <n v="1"/>
    <m/>
  </r>
  <r>
    <n v="132"/>
    <n v="5"/>
    <n v="2"/>
    <x v="2"/>
    <x v="6"/>
    <x v="22"/>
    <x v="2"/>
    <x v="5"/>
    <x v="22"/>
    <n v="1"/>
    <m/>
  </r>
  <r>
    <n v="133"/>
    <n v="5"/>
    <n v="2"/>
    <x v="2"/>
    <x v="7"/>
    <x v="20"/>
    <x v="2"/>
    <x v="1"/>
    <x v="20"/>
    <n v="1"/>
    <m/>
  </r>
  <r>
    <n v="134"/>
    <n v="5"/>
    <n v="2"/>
    <x v="2"/>
    <x v="8"/>
    <x v="21"/>
    <x v="0"/>
    <x v="0"/>
    <x v="21"/>
    <n v="1"/>
    <m/>
  </r>
  <r>
    <n v="135"/>
    <n v="5"/>
    <n v="2"/>
    <x v="3"/>
    <x v="9"/>
    <x v="22"/>
    <x v="2"/>
    <x v="5"/>
    <x v="22"/>
    <n v="1"/>
    <m/>
  </r>
  <r>
    <n v="136"/>
    <n v="5"/>
    <n v="2"/>
    <x v="3"/>
    <x v="10"/>
    <x v="20"/>
    <x v="2"/>
    <x v="1"/>
    <x v="20"/>
    <n v="1"/>
    <m/>
  </r>
  <r>
    <n v="137"/>
    <n v="5"/>
    <n v="2"/>
    <x v="3"/>
    <x v="11"/>
    <x v="21"/>
    <x v="0"/>
    <x v="0"/>
    <x v="21"/>
    <n v="1"/>
    <m/>
  </r>
  <r>
    <n v="138"/>
    <n v="5"/>
    <n v="2"/>
    <x v="4"/>
    <x v="12"/>
    <x v="22"/>
    <x v="2"/>
    <x v="5"/>
    <x v="22"/>
    <n v="1"/>
    <m/>
  </r>
  <r>
    <n v="139"/>
    <n v="5"/>
    <n v="2"/>
    <x v="4"/>
    <x v="13"/>
    <x v="20"/>
    <x v="2"/>
    <x v="1"/>
    <x v="20"/>
    <n v="1"/>
    <m/>
  </r>
  <r>
    <n v="140"/>
    <n v="5"/>
    <n v="2"/>
    <x v="4"/>
    <x v="14"/>
    <x v="21"/>
    <x v="0"/>
    <x v="0"/>
    <x v="21"/>
    <n v="1"/>
    <m/>
  </r>
  <r>
    <n v="141"/>
    <n v="5"/>
    <n v="3"/>
    <x v="5"/>
    <x v="15"/>
    <x v="23"/>
    <x v="2"/>
    <x v="0"/>
    <x v="23"/>
    <n v="1"/>
    <m/>
  </r>
  <r>
    <n v="142"/>
    <n v="5"/>
    <n v="3"/>
    <x v="5"/>
    <x v="16"/>
    <x v="7"/>
    <x v="0"/>
    <x v="1"/>
    <x v="17"/>
    <n v="1"/>
    <m/>
  </r>
  <r>
    <n v="143"/>
    <n v="5"/>
    <n v="3"/>
    <x v="5"/>
    <x v="17"/>
    <x v="15"/>
    <x v="0"/>
    <x v="0"/>
    <x v="24"/>
    <n v="1"/>
    <m/>
  </r>
  <r>
    <n v="144"/>
    <n v="5"/>
    <n v="3"/>
    <x v="0"/>
    <x v="0"/>
    <x v="6"/>
    <x v="0"/>
    <x v="0"/>
    <x v="25"/>
    <n v="1"/>
    <m/>
  </r>
  <r>
    <n v="145"/>
    <n v="5"/>
    <n v="3"/>
    <x v="0"/>
    <x v="1"/>
    <x v="7"/>
    <x v="0"/>
    <x v="1"/>
    <x v="17"/>
    <n v="1"/>
    <m/>
  </r>
  <r>
    <n v="146"/>
    <n v="5"/>
    <n v="3"/>
    <x v="0"/>
    <x v="2"/>
    <x v="15"/>
    <x v="0"/>
    <x v="0"/>
    <x v="24"/>
    <n v="1"/>
    <m/>
  </r>
  <r>
    <n v="147"/>
    <n v="5"/>
    <n v="3"/>
    <x v="1"/>
    <x v="3"/>
    <x v="6"/>
    <x v="0"/>
    <x v="0"/>
    <x v="25"/>
    <n v="1"/>
    <m/>
  </r>
  <r>
    <n v="148"/>
    <n v="5"/>
    <n v="3"/>
    <x v="1"/>
    <x v="4"/>
    <x v="7"/>
    <x v="0"/>
    <x v="1"/>
    <x v="17"/>
    <n v="1"/>
    <m/>
  </r>
  <r>
    <n v="149"/>
    <n v="5"/>
    <n v="3"/>
    <x v="1"/>
    <x v="5"/>
    <x v="15"/>
    <x v="0"/>
    <x v="0"/>
    <x v="24"/>
    <n v="1"/>
    <m/>
  </r>
  <r>
    <n v="150"/>
    <n v="5"/>
    <n v="3"/>
    <x v="2"/>
    <x v="6"/>
    <x v="6"/>
    <x v="0"/>
    <x v="0"/>
    <x v="25"/>
    <n v="1"/>
    <m/>
  </r>
  <r>
    <n v="151"/>
    <n v="5"/>
    <n v="3"/>
    <x v="2"/>
    <x v="7"/>
    <x v="7"/>
    <x v="0"/>
    <x v="1"/>
    <x v="17"/>
    <n v="1"/>
    <m/>
  </r>
  <r>
    <n v="152"/>
    <n v="5"/>
    <n v="3"/>
    <x v="2"/>
    <x v="8"/>
    <x v="15"/>
    <x v="0"/>
    <x v="0"/>
    <x v="24"/>
    <n v="1"/>
    <m/>
  </r>
  <r>
    <n v="153"/>
    <n v="5"/>
    <n v="3"/>
    <x v="3"/>
    <x v="9"/>
    <x v="6"/>
    <x v="0"/>
    <x v="0"/>
    <x v="25"/>
    <n v="1"/>
    <m/>
  </r>
  <r>
    <n v="154"/>
    <n v="5"/>
    <n v="3"/>
    <x v="3"/>
    <x v="10"/>
    <x v="7"/>
    <x v="0"/>
    <x v="1"/>
    <x v="17"/>
    <n v="1"/>
    <m/>
  </r>
  <r>
    <n v="155"/>
    <n v="5"/>
    <n v="3"/>
    <x v="3"/>
    <x v="11"/>
    <x v="15"/>
    <x v="0"/>
    <x v="0"/>
    <x v="24"/>
    <n v="1"/>
    <m/>
  </r>
  <r>
    <n v="156"/>
    <n v="5"/>
    <n v="3"/>
    <x v="4"/>
    <x v="12"/>
    <x v="6"/>
    <x v="0"/>
    <x v="0"/>
    <x v="25"/>
    <n v="1"/>
    <m/>
  </r>
  <r>
    <n v="157"/>
    <n v="5"/>
    <n v="3"/>
    <x v="4"/>
    <x v="13"/>
    <x v="7"/>
    <x v="0"/>
    <x v="1"/>
    <x v="17"/>
    <n v="1"/>
    <m/>
  </r>
  <r>
    <n v="158"/>
    <n v="5"/>
    <n v="3"/>
    <x v="4"/>
    <x v="14"/>
    <x v="15"/>
    <x v="0"/>
    <x v="0"/>
    <x v="24"/>
    <n v="1"/>
    <m/>
  </r>
  <r>
    <n v="159"/>
    <n v="5"/>
    <n v="4"/>
    <x v="5"/>
    <x v="15"/>
    <x v="14"/>
    <x v="0"/>
    <x v="0"/>
    <x v="24"/>
    <n v="1"/>
    <m/>
  </r>
  <r>
    <n v="160"/>
    <n v="5"/>
    <n v="4"/>
    <x v="5"/>
    <x v="16"/>
    <x v="13"/>
    <x v="0"/>
    <x v="1"/>
    <x v="17"/>
    <n v="1"/>
    <m/>
  </r>
  <r>
    <n v="161"/>
    <n v="5"/>
    <n v="4"/>
    <x v="5"/>
    <x v="17"/>
    <x v="24"/>
    <x v="2"/>
    <x v="0"/>
    <x v="23"/>
    <n v="1"/>
    <m/>
  </r>
  <r>
    <n v="162"/>
    <n v="5"/>
    <n v="4"/>
    <x v="0"/>
    <x v="0"/>
    <x v="14"/>
    <x v="0"/>
    <x v="0"/>
    <x v="24"/>
    <n v="1"/>
    <m/>
  </r>
  <r>
    <n v="163"/>
    <n v="5"/>
    <n v="4"/>
    <x v="0"/>
    <x v="1"/>
    <x v="13"/>
    <x v="0"/>
    <x v="1"/>
    <x v="17"/>
    <n v="1"/>
    <m/>
  </r>
  <r>
    <n v="164"/>
    <n v="5"/>
    <n v="4"/>
    <x v="0"/>
    <x v="2"/>
    <x v="25"/>
    <x v="0"/>
    <x v="0"/>
    <x v="25"/>
    <n v="1"/>
    <m/>
  </r>
  <r>
    <n v="165"/>
    <n v="5"/>
    <n v="4"/>
    <x v="1"/>
    <x v="3"/>
    <x v="14"/>
    <x v="0"/>
    <x v="0"/>
    <x v="24"/>
    <n v="1"/>
    <m/>
  </r>
  <r>
    <n v="166"/>
    <n v="5"/>
    <n v="4"/>
    <x v="1"/>
    <x v="4"/>
    <x v="13"/>
    <x v="0"/>
    <x v="1"/>
    <x v="17"/>
    <n v="1"/>
    <m/>
  </r>
  <r>
    <n v="167"/>
    <n v="5"/>
    <n v="4"/>
    <x v="1"/>
    <x v="5"/>
    <x v="25"/>
    <x v="0"/>
    <x v="0"/>
    <x v="25"/>
    <n v="1"/>
    <m/>
  </r>
  <r>
    <n v="168"/>
    <n v="5"/>
    <n v="4"/>
    <x v="2"/>
    <x v="6"/>
    <x v="14"/>
    <x v="0"/>
    <x v="0"/>
    <x v="24"/>
    <n v="1"/>
    <m/>
  </r>
  <r>
    <n v="169"/>
    <n v="5"/>
    <n v="4"/>
    <x v="2"/>
    <x v="7"/>
    <x v="13"/>
    <x v="0"/>
    <x v="1"/>
    <x v="17"/>
    <n v="1"/>
    <m/>
  </r>
  <r>
    <n v="170"/>
    <n v="5"/>
    <n v="4"/>
    <x v="2"/>
    <x v="8"/>
    <x v="25"/>
    <x v="0"/>
    <x v="0"/>
    <x v="25"/>
    <n v="1"/>
    <m/>
  </r>
  <r>
    <n v="171"/>
    <n v="5"/>
    <n v="4"/>
    <x v="3"/>
    <x v="9"/>
    <x v="14"/>
    <x v="0"/>
    <x v="0"/>
    <x v="24"/>
    <n v="1"/>
    <m/>
  </r>
  <r>
    <n v="172"/>
    <n v="5"/>
    <n v="4"/>
    <x v="3"/>
    <x v="10"/>
    <x v="13"/>
    <x v="0"/>
    <x v="1"/>
    <x v="17"/>
    <n v="1"/>
    <m/>
  </r>
  <r>
    <n v="173"/>
    <n v="5"/>
    <n v="4"/>
    <x v="3"/>
    <x v="11"/>
    <x v="25"/>
    <x v="0"/>
    <x v="0"/>
    <x v="25"/>
    <n v="1"/>
    <m/>
  </r>
  <r>
    <n v="174"/>
    <n v="5"/>
    <n v="4"/>
    <x v="4"/>
    <x v="12"/>
    <x v="14"/>
    <x v="0"/>
    <x v="0"/>
    <x v="24"/>
    <n v="1"/>
    <m/>
  </r>
  <r>
    <n v="175"/>
    <n v="5"/>
    <n v="4"/>
    <x v="4"/>
    <x v="13"/>
    <x v="13"/>
    <x v="0"/>
    <x v="1"/>
    <x v="17"/>
    <n v="1"/>
    <m/>
  </r>
  <r>
    <n v="176"/>
    <n v="5"/>
    <n v="4"/>
    <x v="4"/>
    <x v="14"/>
    <x v="25"/>
    <x v="0"/>
    <x v="0"/>
    <x v="25"/>
    <n v="1"/>
    <m/>
  </r>
  <r>
    <n v="177"/>
    <n v="5"/>
    <n v="5"/>
    <x v="5"/>
    <x v="15"/>
    <x v="23"/>
    <x v="2"/>
    <x v="0"/>
    <x v="23"/>
    <n v="1"/>
    <m/>
  </r>
  <r>
    <n v="178"/>
    <n v="5"/>
    <n v="5"/>
    <x v="5"/>
    <x v="16"/>
    <x v="7"/>
    <x v="0"/>
    <x v="1"/>
    <x v="17"/>
    <n v="1"/>
    <m/>
  </r>
  <r>
    <n v="179"/>
    <n v="5"/>
    <n v="5"/>
    <x v="5"/>
    <x v="17"/>
    <x v="15"/>
    <x v="0"/>
    <x v="0"/>
    <x v="26"/>
    <n v="1"/>
    <m/>
  </r>
  <r>
    <n v="180"/>
    <n v="5"/>
    <n v="5"/>
    <x v="0"/>
    <x v="0"/>
    <x v="6"/>
    <x v="0"/>
    <x v="0"/>
    <x v="25"/>
    <n v="1"/>
    <m/>
  </r>
  <r>
    <n v="181"/>
    <n v="5"/>
    <n v="5"/>
    <x v="0"/>
    <x v="1"/>
    <x v="7"/>
    <x v="0"/>
    <x v="1"/>
    <x v="17"/>
    <n v="1"/>
    <m/>
  </r>
  <r>
    <n v="182"/>
    <n v="5"/>
    <n v="5"/>
    <x v="0"/>
    <x v="2"/>
    <x v="15"/>
    <x v="0"/>
    <x v="0"/>
    <x v="26"/>
    <n v="1"/>
    <m/>
  </r>
  <r>
    <n v="183"/>
    <n v="5"/>
    <n v="5"/>
    <x v="1"/>
    <x v="3"/>
    <x v="6"/>
    <x v="0"/>
    <x v="0"/>
    <x v="25"/>
    <n v="1"/>
    <m/>
  </r>
  <r>
    <n v="184"/>
    <n v="5"/>
    <n v="5"/>
    <x v="1"/>
    <x v="4"/>
    <x v="7"/>
    <x v="0"/>
    <x v="1"/>
    <x v="17"/>
    <n v="1"/>
    <m/>
  </r>
  <r>
    <n v="185"/>
    <n v="5"/>
    <n v="5"/>
    <x v="1"/>
    <x v="5"/>
    <x v="15"/>
    <x v="0"/>
    <x v="0"/>
    <x v="26"/>
    <n v="1"/>
    <m/>
  </r>
  <r>
    <n v="186"/>
    <n v="5"/>
    <n v="5"/>
    <x v="2"/>
    <x v="6"/>
    <x v="6"/>
    <x v="0"/>
    <x v="0"/>
    <x v="25"/>
    <n v="1"/>
    <m/>
  </r>
  <r>
    <n v="187"/>
    <n v="5"/>
    <n v="5"/>
    <x v="2"/>
    <x v="7"/>
    <x v="7"/>
    <x v="0"/>
    <x v="1"/>
    <x v="17"/>
    <n v="1"/>
    <m/>
  </r>
  <r>
    <n v="188"/>
    <n v="5"/>
    <n v="5"/>
    <x v="2"/>
    <x v="8"/>
    <x v="15"/>
    <x v="0"/>
    <x v="0"/>
    <x v="26"/>
    <n v="1"/>
    <m/>
  </r>
  <r>
    <n v="189"/>
    <n v="5"/>
    <n v="5"/>
    <x v="3"/>
    <x v="9"/>
    <x v="6"/>
    <x v="0"/>
    <x v="0"/>
    <x v="25"/>
    <n v="1"/>
    <m/>
  </r>
  <r>
    <n v="190"/>
    <n v="5"/>
    <n v="5"/>
    <x v="3"/>
    <x v="10"/>
    <x v="7"/>
    <x v="0"/>
    <x v="1"/>
    <x v="17"/>
    <n v="1"/>
    <m/>
  </r>
  <r>
    <n v="191"/>
    <n v="5"/>
    <n v="5"/>
    <x v="3"/>
    <x v="11"/>
    <x v="15"/>
    <x v="0"/>
    <x v="0"/>
    <x v="26"/>
    <n v="1"/>
    <m/>
  </r>
  <r>
    <n v="192"/>
    <n v="5"/>
    <n v="5"/>
    <x v="4"/>
    <x v="12"/>
    <x v="6"/>
    <x v="0"/>
    <x v="0"/>
    <x v="25"/>
    <n v="1"/>
    <m/>
  </r>
  <r>
    <n v="193"/>
    <n v="5"/>
    <n v="5"/>
    <x v="4"/>
    <x v="13"/>
    <x v="7"/>
    <x v="0"/>
    <x v="1"/>
    <x v="17"/>
    <n v="1"/>
    <m/>
  </r>
  <r>
    <n v="194"/>
    <n v="5"/>
    <n v="5"/>
    <x v="4"/>
    <x v="14"/>
    <x v="15"/>
    <x v="0"/>
    <x v="0"/>
    <x v="26"/>
    <n v="1"/>
    <m/>
  </r>
  <r>
    <n v="195"/>
    <n v="3"/>
    <n v="1"/>
    <x v="5"/>
    <x v="15"/>
    <x v="26"/>
    <x v="0"/>
    <x v="0"/>
    <x v="27"/>
    <n v="1"/>
    <m/>
  </r>
  <r>
    <n v="196"/>
    <n v="3"/>
    <n v="1"/>
    <x v="5"/>
    <x v="16"/>
    <x v="27"/>
    <x v="2"/>
    <x v="1"/>
    <x v="28"/>
    <n v="1"/>
    <m/>
  </r>
  <r>
    <n v="197"/>
    <n v="3"/>
    <n v="1"/>
    <x v="5"/>
    <x v="17"/>
    <x v="25"/>
    <x v="0"/>
    <x v="0"/>
    <x v="29"/>
    <n v="1"/>
    <m/>
  </r>
  <r>
    <n v="198"/>
    <n v="3"/>
    <n v="1"/>
    <x v="0"/>
    <x v="0"/>
    <x v="14"/>
    <x v="0"/>
    <x v="0"/>
    <x v="30"/>
    <n v="1"/>
    <m/>
  </r>
  <r>
    <n v="199"/>
    <n v="3"/>
    <n v="1"/>
    <x v="0"/>
    <x v="1"/>
    <x v="13"/>
    <x v="0"/>
    <x v="1"/>
    <x v="31"/>
    <n v="1"/>
    <m/>
  </r>
  <r>
    <n v="200"/>
    <n v="3"/>
    <n v="1"/>
    <x v="0"/>
    <x v="2"/>
    <x v="25"/>
    <x v="0"/>
    <x v="0"/>
    <x v="29"/>
    <n v="1"/>
    <m/>
  </r>
  <r>
    <n v="201"/>
    <n v="3"/>
    <n v="1"/>
    <x v="1"/>
    <x v="3"/>
    <x v="14"/>
    <x v="0"/>
    <x v="0"/>
    <x v="30"/>
    <n v="1"/>
    <m/>
  </r>
  <r>
    <n v="202"/>
    <n v="3"/>
    <n v="1"/>
    <x v="1"/>
    <x v="4"/>
    <x v="13"/>
    <x v="0"/>
    <x v="1"/>
    <x v="31"/>
    <n v="1"/>
    <m/>
  </r>
  <r>
    <n v="203"/>
    <n v="3"/>
    <n v="1"/>
    <x v="1"/>
    <x v="5"/>
    <x v="25"/>
    <x v="0"/>
    <x v="0"/>
    <x v="29"/>
    <n v="1"/>
    <m/>
  </r>
  <r>
    <n v="204"/>
    <n v="3"/>
    <n v="1"/>
    <x v="2"/>
    <x v="6"/>
    <x v="14"/>
    <x v="0"/>
    <x v="0"/>
    <x v="30"/>
    <n v="1"/>
    <m/>
  </r>
  <r>
    <n v="205"/>
    <n v="3"/>
    <n v="1"/>
    <x v="2"/>
    <x v="7"/>
    <x v="13"/>
    <x v="0"/>
    <x v="1"/>
    <x v="31"/>
    <n v="1"/>
    <m/>
  </r>
  <r>
    <n v="206"/>
    <n v="3"/>
    <n v="1"/>
    <x v="2"/>
    <x v="8"/>
    <x v="25"/>
    <x v="0"/>
    <x v="0"/>
    <x v="29"/>
    <n v="1"/>
    <m/>
  </r>
  <r>
    <n v="207"/>
    <n v="3"/>
    <n v="1"/>
    <x v="3"/>
    <x v="9"/>
    <x v="14"/>
    <x v="0"/>
    <x v="0"/>
    <x v="30"/>
    <n v="1"/>
    <m/>
  </r>
  <r>
    <n v="208"/>
    <n v="3"/>
    <n v="1"/>
    <x v="3"/>
    <x v="10"/>
    <x v="13"/>
    <x v="0"/>
    <x v="1"/>
    <x v="31"/>
    <n v="1"/>
    <m/>
  </r>
  <r>
    <n v="209"/>
    <n v="3"/>
    <n v="1"/>
    <x v="3"/>
    <x v="11"/>
    <x v="25"/>
    <x v="0"/>
    <x v="0"/>
    <x v="29"/>
    <n v="1"/>
    <m/>
  </r>
  <r>
    <n v="210"/>
    <n v="3"/>
    <n v="1"/>
    <x v="4"/>
    <x v="12"/>
    <x v="14"/>
    <x v="0"/>
    <x v="0"/>
    <x v="30"/>
    <n v="1"/>
    <m/>
  </r>
  <r>
    <n v="211"/>
    <n v="3"/>
    <n v="1"/>
    <x v="4"/>
    <x v="13"/>
    <x v="13"/>
    <x v="0"/>
    <x v="1"/>
    <x v="31"/>
    <n v="1"/>
    <m/>
  </r>
  <r>
    <n v="212"/>
    <n v="3"/>
    <n v="1"/>
    <x v="4"/>
    <x v="14"/>
    <x v="25"/>
    <x v="0"/>
    <x v="0"/>
    <x v="29"/>
    <n v="1"/>
    <m/>
  </r>
  <r>
    <n v="213"/>
    <n v="3"/>
    <n v="2"/>
    <x v="0"/>
    <x v="0"/>
    <x v="3"/>
    <x v="0"/>
    <x v="0"/>
    <x v="32"/>
    <n v="1"/>
    <m/>
  </r>
  <r>
    <n v="214"/>
    <n v="3"/>
    <n v="2"/>
    <x v="0"/>
    <x v="1"/>
    <x v="4"/>
    <x v="0"/>
    <x v="1"/>
    <x v="33"/>
    <n v="1"/>
    <m/>
  </r>
  <r>
    <n v="215"/>
    <n v="3"/>
    <n v="2"/>
    <x v="0"/>
    <x v="2"/>
    <x v="5"/>
    <x v="0"/>
    <x v="0"/>
    <x v="34"/>
    <n v="1"/>
    <m/>
  </r>
  <r>
    <n v="216"/>
    <n v="3"/>
    <n v="2"/>
    <x v="1"/>
    <x v="3"/>
    <x v="3"/>
    <x v="0"/>
    <x v="0"/>
    <x v="32"/>
    <n v="1"/>
    <m/>
  </r>
  <r>
    <n v="217"/>
    <n v="3"/>
    <n v="2"/>
    <x v="1"/>
    <x v="4"/>
    <x v="4"/>
    <x v="0"/>
    <x v="1"/>
    <x v="33"/>
    <n v="1"/>
    <m/>
  </r>
  <r>
    <n v="218"/>
    <n v="3"/>
    <n v="2"/>
    <x v="1"/>
    <x v="5"/>
    <x v="5"/>
    <x v="0"/>
    <x v="0"/>
    <x v="34"/>
    <n v="1"/>
    <m/>
  </r>
  <r>
    <n v="219"/>
    <n v="3"/>
    <n v="2"/>
    <x v="2"/>
    <x v="6"/>
    <x v="3"/>
    <x v="0"/>
    <x v="0"/>
    <x v="32"/>
    <n v="1"/>
    <m/>
  </r>
  <r>
    <n v="220"/>
    <n v="3"/>
    <n v="2"/>
    <x v="2"/>
    <x v="7"/>
    <x v="4"/>
    <x v="0"/>
    <x v="1"/>
    <x v="33"/>
    <n v="1"/>
    <m/>
  </r>
  <r>
    <n v="221"/>
    <n v="3"/>
    <n v="2"/>
    <x v="2"/>
    <x v="8"/>
    <x v="5"/>
    <x v="0"/>
    <x v="0"/>
    <x v="34"/>
    <n v="1"/>
    <m/>
  </r>
  <r>
    <n v="222"/>
    <n v="3"/>
    <n v="2"/>
    <x v="3"/>
    <x v="9"/>
    <x v="3"/>
    <x v="0"/>
    <x v="0"/>
    <x v="32"/>
    <n v="1"/>
    <m/>
  </r>
  <r>
    <n v="223"/>
    <n v="3"/>
    <n v="2"/>
    <x v="3"/>
    <x v="10"/>
    <x v="4"/>
    <x v="0"/>
    <x v="1"/>
    <x v="33"/>
    <n v="1"/>
    <m/>
  </r>
  <r>
    <n v="224"/>
    <n v="3"/>
    <n v="2"/>
    <x v="3"/>
    <x v="11"/>
    <x v="5"/>
    <x v="0"/>
    <x v="0"/>
    <x v="34"/>
    <n v="1"/>
    <m/>
  </r>
  <r>
    <n v="225"/>
    <n v="3"/>
    <n v="2"/>
    <x v="4"/>
    <x v="12"/>
    <x v="3"/>
    <x v="0"/>
    <x v="0"/>
    <x v="32"/>
    <n v="1"/>
    <m/>
  </r>
  <r>
    <n v="226"/>
    <n v="3"/>
    <n v="2"/>
    <x v="4"/>
    <x v="13"/>
    <x v="4"/>
    <x v="0"/>
    <x v="1"/>
    <x v="33"/>
    <n v="1"/>
    <m/>
  </r>
  <r>
    <n v="227"/>
    <n v="3"/>
    <n v="2"/>
    <x v="4"/>
    <x v="14"/>
    <x v="5"/>
    <x v="0"/>
    <x v="0"/>
    <x v="34"/>
    <n v="1"/>
    <m/>
  </r>
  <r>
    <n v="228"/>
    <n v="3"/>
    <n v="3"/>
    <x v="0"/>
    <x v="0"/>
    <x v="0"/>
    <x v="0"/>
    <x v="0"/>
    <x v="34"/>
    <n v="1"/>
    <m/>
  </r>
  <r>
    <n v="229"/>
    <n v="3"/>
    <n v="3"/>
    <x v="0"/>
    <x v="1"/>
    <x v="1"/>
    <x v="0"/>
    <x v="1"/>
    <x v="33"/>
    <n v="1"/>
    <m/>
  </r>
  <r>
    <n v="230"/>
    <n v="3"/>
    <n v="3"/>
    <x v="0"/>
    <x v="2"/>
    <x v="2"/>
    <x v="0"/>
    <x v="0"/>
    <x v="32"/>
    <n v="1"/>
    <m/>
  </r>
  <r>
    <n v="231"/>
    <n v="3"/>
    <n v="3"/>
    <x v="1"/>
    <x v="3"/>
    <x v="0"/>
    <x v="0"/>
    <x v="0"/>
    <x v="34"/>
    <n v="1"/>
    <m/>
  </r>
  <r>
    <n v="232"/>
    <n v="3"/>
    <n v="3"/>
    <x v="1"/>
    <x v="4"/>
    <x v="1"/>
    <x v="0"/>
    <x v="1"/>
    <x v="33"/>
    <n v="1"/>
    <m/>
  </r>
  <r>
    <n v="233"/>
    <n v="3"/>
    <n v="3"/>
    <x v="1"/>
    <x v="5"/>
    <x v="2"/>
    <x v="0"/>
    <x v="0"/>
    <x v="32"/>
    <n v="1"/>
    <m/>
  </r>
  <r>
    <n v="234"/>
    <n v="3"/>
    <n v="3"/>
    <x v="2"/>
    <x v="6"/>
    <x v="0"/>
    <x v="0"/>
    <x v="0"/>
    <x v="34"/>
    <n v="1"/>
    <m/>
  </r>
  <r>
    <n v="235"/>
    <n v="3"/>
    <n v="3"/>
    <x v="2"/>
    <x v="7"/>
    <x v="1"/>
    <x v="0"/>
    <x v="1"/>
    <x v="33"/>
    <n v="1"/>
    <m/>
  </r>
  <r>
    <n v="236"/>
    <n v="3"/>
    <n v="3"/>
    <x v="2"/>
    <x v="8"/>
    <x v="2"/>
    <x v="0"/>
    <x v="0"/>
    <x v="32"/>
    <n v="1"/>
    <m/>
  </r>
  <r>
    <n v="237"/>
    <n v="3"/>
    <n v="3"/>
    <x v="3"/>
    <x v="9"/>
    <x v="0"/>
    <x v="0"/>
    <x v="0"/>
    <x v="34"/>
    <n v="1"/>
    <m/>
  </r>
  <r>
    <n v="238"/>
    <n v="3"/>
    <n v="3"/>
    <x v="3"/>
    <x v="10"/>
    <x v="1"/>
    <x v="0"/>
    <x v="1"/>
    <x v="33"/>
    <n v="1"/>
    <m/>
  </r>
  <r>
    <n v="239"/>
    <n v="3"/>
    <n v="3"/>
    <x v="3"/>
    <x v="11"/>
    <x v="2"/>
    <x v="0"/>
    <x v="0"/>
    <x v="32"/>
    <n v="1"/>
    <m/>
  </r>
  <r>
    <n v="240"/>
    <n v="3"/>
    <n v="3"/>
    <x v="4"/>
    <x v="12"/>
    <x v="0"/>
    <x v="0"/>
    <x v="0"/>
    <x v="34"/>
    <n v="1"/>
    <m/>
  </r>
  <r>
    <n v="241"/>
    <n v="3"/>
    <n v="3"/>
    <x v="4"/>
    <x v="13"/>
    <x v="1"/>
    <x v="0"/>
    <x v="1"/>
    <x v="33"/>
    <n v="1"/>
    <m/>
  </r>
  <r>
    <n v="242"/>
    <n v="3"/>
    <n v="3"/>
    <x v="4"/>
    <x v="14"/>
    <x v="2"/>
    <x v="0"/>
    <x v="0"/>
    <x v="32"/>
    <n v="1"/>
    <m/>
  </r>
  <r>
    <n v="243"/>
    <n v="3"/>
    <n v="4"/>
    <x v="0"/>
    <x v="0"/>
    <x v="3"/>
    <x v="0"/>
    <x v="0"/>
    <x v="32"/>
    <n v="1"/>
    <m/>
  </r>
  <r>
    <n v="244"/>
    <n v="3"/>
    <n v="4"/>
    <x v="0"/>
    <x v="1"/>
    <x v="4"/>
    <x v="0"/>
    <x v="1"/>
    <x v="33"/>
    <n v="1"/>
    <m/>
  </r>
  <r>
    <n v="245"/>
    <n v="3"/>
    <n v="4"/>
    <x v="0"/>
    <x v="2"/>
    <x v="5"/>
    <x v="0"/>
    <x v="0"/>
    <x v="34"/>
    <n v="1"/>
    <m/>
  </r>
  <r>
    <n v="246"/>
    <n v="3"/>
    <n v="4"/>
    <x v="1"/>
    <x v="3"/>
    <x v="3"/>
    <x v="0"/>
    <x v="0"/>
    <x v="32"/>
    <n v="1"/>
    <m/>
  </r>
  <r>
    <n v="247"/>
    <n v="3"/>
    <n v="4"/>
    <x v="1"/>
    <x v="4"/>
    <x v="4"/>
    <x v="0"/>
    <x v="1"/>
    <x v="33"/>
    <n v="1"/>
    <m/>
  </r>
  <r>
    <n v="248"/>
    <n v="3"/>
    <n v="4"/>
    <x v="1"/>
    <x v="5"/>
    <x v="5"/>
    <x v="0"/>
    <x v="0"/>
    <x v="34"/>
    <n v="1"/>
    <m/>
  </r>
  <r>
    <n v="249"/>
    <n v="3"/>
    <n v="4"/>
    <x v="2"/>
    <x v="6"/>
    <x v="3"/>
    <x v="0"/>
    <x v="0"/>
    <x v="32"/>
    <n v="1"/>
    <m/>
  </r>
  <r>
    <n v="250"/>
    <n v="3"/>
    <n v="4"/>
    <x v="2"/>
    <x v="7"/>
    <x v="4"/>
    <x v="0"/>
    <x v="1"/>
    <x v="33"/>
    <n v="1"/>
    <m/>
  </r>
  <r>
    <n v="251"/>
    <n v="3"/>
    <n v="4"/>
    <x v="2"/>
    <x v="8"/>
    <x v="5"/>
    <x v="0"/>
    <x v="0"/>
    <x v="34"/>
    <n v="1"/>
    <m/>
  </r>
  <r>
    <n v="252"/>
    <n v="3"/>
    <n v="4"/>
    <x v="3"/>
    <x v="9"/>
    <x v="3"/>
    <x v="0"/>
    <x v="0"/>
    <x v="32"/>
    <n v="1"/>
    <m/>
  </r>
  <r>
    <n v="253"/>
    <n v="3"/>
    <n v="4"/>
    <x v="3"/>
    <x v="10"/>
    <x v="4"/>
    <x v="0"/>
    <x v="1"/>
    <x v="33"/>
    <n v="1"/>
    <m/>
  </r>
  <r>
    <n v="254"/>
    <n v="3"/>
    <n v="4"/>
    <x v="3"/>
    <x v="11"/>
    <x v="5"/>
    <x v="0"/>
    <x v="0"/>
    <x v="34"/>
    <n v="1"/>
    <m/>
  </r>
  <r>
    <n v="255"/>
    <n v="3"/>
    <n v="4"/>
    <x v="4"/>
    <x v="12"/>
    <x v="3"/>
    <x v="0"/>
    <x v="0"/>
    <x v="32"/>
    <n v="1"/>
    <m/>
  </r>
  <r>
    <n v="256"/>
    <n v="3"/>
    <n v="4"/>
    <x v="4"/>
    <x v="13"/>
    <x v="4"/>
    <x v="0"/>
    <x v="1"/>
    <x v="33"/>
    <n v="1"/>
    <m/>
  </r>
  <r>
    <n v="257"/>
    <n v="3"/>
    <n v="4"/>
    <x v="4"/>
    <x v="14"/>
    <x v="5"/>
    <x v="0"/>
    <x v="0"/>
    <x v="34"/>
    <n v="1"/>
    <m/>
  </r>
  <r>
    <n v="258"/>
    <n v="3"/>
    <n v="5"/>
    <x v="0"/>
    <x v="0"/>
    <x v="0"/>
    <x v="0"/>
    <x v="0"/>
    <x v="34"/>
    <n v="1"/>
    <m/>
  </r>
  <r>
    <n v="259"/>
    <n v="3"/>
    <n v="5"/>
    <x v="0"/>
    <x v="1"/>
    <x v="1"/>
    <x v="0"/>
    <x v="1"/>
    <x v="33"/>
    <n v="1"/>
    <m/>
  </r>
  <r>
    <n v="260"/>
    <n v="3"/>
    <n v="5"/>
    <x v="0"/>
    <x v="2"/>
    <x v="2"/>
    <x v="0"/>
    <x v="0"/>
    <x v="32"/>
    <n v="1"/>
    <m/>
  </r>
  <r>
    <n v="261"/>
    <n v="3"/>
    <n v="5"/>
    <x v="1"/>
    <x v="3"/>
    <x v="0"/>
    <x v="0"/>
    <x v="0"/>
    <x v="34"/>
    <n v="1"/>
    <m/>
  </r>
  <r>
    <n v="262"/>
    <n v="3"/>
    <n v="5"/>
    <x v="1"/>
    <x v="4"/>
    <x v="1"/>
    <x v="0"/>
    <x v="1"/>
    <x v="33"/>
    <n v="1"/>
    <m/>
  </r>
  <r>
    <n v="263"/>
    <n v="3"/>
    <n v="5"/>
    <x v="1"/>
    <x v="5"/>
    <x v="2"/>
    <x v="0"/>
    <x v="0"/>
    <x v="32"/>
    <n v="1"/>
    <m/>
  </r>
  <r>
    <n v="264"/>
    <n v="3"/>
    <n v="5"/>
    <x v="2"/>
    <x v="6"/>
    <x v="0"/>
    <x v="0"/>
    <x v="0"/>
    <x v="34"/>
    <n v="1"/>
    <m/>
  </r>
  <r>
    <n v="265"/>
    <n v="3"/>
    <n v="5"/>
    <x v="2"/>
    <x v="7"/>
    <x v="1"/>
    <x v="0"/>
    <x v="1"/>
    <x v="33"/>
    <n v="1"/>
    <m/>
  </r>
  <r>
    <n v="266"/>
    <n v="3"/>
    <n v="5"/>
    <x v="2"/>
    <x v="8"/>
    <x v="2"/>
    <x v="0"/>
    <x v="0"/>
    <x v="32"/>
    <n v="1"/>
    <m/>
  </r>
  <r>
    <n v="267"/>
    <n v="3"/>
    <n v="5"/>
    <x v="3"/>
    <x v="9"/>
    <x v="0"/>
    <x v="0"/>
    <x v="0"/>
    <x v="34"/>
    <n v="1"/>
    <m/>
  </r>
  <r>
    <n v="268"/>
    <n v="3"/>
    <n v="5"/>
    <x v="3"/>
    <x v="10"/>
    <x v="1"/>
    <x v="0"/>
    <x v="1"/>
    <x v="33"/>
    <n v="1"/>
    <m/>
  </r>
  <r>
    <n v="269"/>
    <n v="3"/>
    <n v="5"/>
    <x v="3"/>
    <x v="11"/>
    <x v="2"/>
    <x v="0"/>
    <x v="0"/>
    <x v="32"/>
    <n v="1"/>
    <m/>
  </r>
  <r>
    <n v="270"/>
    <n v="3"/>
    <n v="5"/>
    <x v="4"/>
    <x v="12"/>
    <x v="0"/>
    <x v="0"/>
    <x v="0"/>
    <x v="34"/>
    <n v="1"/>
    <m/>
  </r>
  <r>
    <n v="271"/>
    <n v="3"/>
    <n v="5"/>
    <x v="4"/>
    <x v="13"/>
    <x v="1"/>
    <x v="0"/>
    <x v="1"/>
    <x v="33"/>
    <n v="1"/>
    <m/>
  </r>
  <r>
    <n v="272"/>
    <n v="3"/>
    <n v="5"/>
    <x v="4"/>
    <x v="14"/>
    <x v="2"/>
    <x v="0"/>
    <x v="0"/>
    <x v="32"/>
    <n v="1"/>
    <m/>
  </r>
  <r>
    <n v="273"/>
    <n v="3"/>
    <n v="6"/>
    <x v="0"/>
    <x v="0"/>
    <x v="28"/>
    <x v="0"/>
    <x v="0"/>
    <x v="35"/>
    <n v="1"/>
    <m/>
  </r>
  <r>
    <n v="274"/>
    <n v="3"/>
    <n v="6"/>
    <x v="0"/>
    <x v="1"/>
    <x v="29"/>
    <x v="2"/>
    <x v="2"/>
    <x v="36"/>
    <n v="1"/>
    <m/>
  </r>
  <r>
    <n v="275"/>
    <n v="3"/>
    <n v="6"/>
    <x v="0"/>
    <x v="2"/>
    <x v="30"/>
    <x v="2"/>
    <x v="4"/>
    <x v="37"/>
    <n v="1"/>
    <m/>
  </r>
  <r>
    <n v="276"/>
    <n v="3"/>
    <n v="6"/>
    <x v="0"/>
    <x v="18"/>
    <x v="31"/>
    <x v="2"/>
    <x v="3"/>
    <x v="38"/>
    <n v="1"/>
    <m/>
  </r>
  <r>
    <n v="277"/>
    <n v="3"/>
    <n v="6"/>
    <x v="1"/>
    <x v="3"/>
    <x v="28"/>
    <x v="0"/>
    <x v="0"/>
    <x v="35"/>
    <n v="1"/>
    <m/>
  </r>
  <r>
    <n v="278"/>
    <n v="3"/>
    <n v="6"/>
    <x v="1"/>
    <x v="4"/>
    <x v="29"/>
    <x v="2"/>
    <x v="2"/>
    <x v="36"/>
    <n v="1"/>
    <m/>
  </r>
  <r>
    <n v="279"/>
    <n v="3"/>
    <n v="6"/>
    <x v="1"/>
    <x v="5"/>
    <x v="30"/>
    <x v="2"/>
    <x v="4"/>
    <x v="37"/>
    <n v="1"/>
    <m/>
  </r>
  <r>
    <n v="280"/>
    <n v="3"/>
    <n v="6"/>
    <x v="1"/>
    <x v="19"/>
    <x v="31"/>
    <x v="2"/>
    <x v="3"/>
    <x v="38"/>
    <n v="1"/>
    <m/>
  </r>
  <r>
    <n v="281"/>
    <n v="3"/>
    <n v="6"/>
    <x v="2"/>
    <x v="6"/>
    <x v="28"/>
    <x v="0"/>
    <x v="0"/>
    <x v="35"/>
    <n v="1"/>
    <m/>
  </r>
  <r>
    <n v="282"/>
    <n v="3"/>
    <n v="6"/>
    <x v="2"/>
    <x v="7"/>
    <x v="29"/>
    <x v="2"/>
    <x v="2"/>
    <x v="36"/>
    <n v="1"/>
    <m/>
  </r>
  <r>
    <n v="283"/>
    <n v="3"/>
    <n v="6"/>
    <x v="2"/>
    <x v="8"/>
    <x v="30"/>
    <x v="2"/>
    <x v="4"/>
    <x v="37"/>
    <n v="1"/>
    <m/>
  </r>
  <r>
    <n v="284"/>
    <n v="3"/>
    <n v="6"/>
    <x v="2"/>
    <x v="20"/>
    <x v="31"/>
    <x v="2"/>
    <x v="3"/>
    <x v="38"/>
    <n v="1"/>
    <m/>
  </r>
  <r>
    <n v="285"/>
    <n v="3"/>
    <n v="6"/>
    <x v="3"/>
    <x v="9"/>
    <x v="28"/>
    <x v="0"/>
    <x v="0"/>
    <x v="35"/>
    <n v="1"/>
    <m/>
  </r>
  <r>
    <n v="286"/>
    <n v="3"/>
    <n v="6"/>
    <x v="3"/>
    <x v="10"/>
    <x v="29"/>
    <x v="2"/>
    <x v="2"/>
    <x v="36"/>
    <n v="1"/>
    <m/>
  </r>
  <r>
    <n v="287"/>
    <n v="3"/>
    <n v="6"/>
    <x v="3"/>
    <x v="11"/>
    <x v="30"/>
    <x v="2"/>
    <x v="4"/>
    <x v="37"/>
    <n v="1"/>
    <m/>
  </r>
  <r>
    <n v="288"/>
    <n v="3"/>
    <n v="6"/>
    <x v="3"/>
    <x v="21"/>
    <x v="31"/>
    <x v="2"/>
    <x v="3"/>
    <x v="38"/>
    <n v="1"/>
    <m/>
  </r>
  <r>
    <n v="289"/>
    <n v="3"/>
    <n v="6"/>
    <x v="4"/>
    <x v="12"/>
    <x v="28"/>
    <x v="0"/>
    <x v="0"/>
    <x v="35"/>
    <n v="1"/>
    <m/>
  </r>
  <r>
    <n v="290"/>
    <n v="3"/>
    <n v="6"/>
    <x v="4"/>
    <x v="13"/>
    <x v="29"/>
    <x v="2"/>
    <x v="2"/>
    <x v="36"/>
    <n v="1"/>
    <m/>
  </r>
  <r>
    <n v="291"/>
    <n v="3"/>
    <n v="6"/>
    <x v="4"/>
    <x v="14"/>
    <x v="30"/>
    <x v="2"/>
    <x v="4"/>
    <x v="37"/>
    <n v="1"/>
    <m/>
  </r>
  <r>
    <n v="292"/>
    <n v="3"/>
    <n v="6"/>
    <x v="4"/>
    <x v="22"/>
    <x v="31"/>
    <x v="2"/>
    <x v="3"/>
    <x v="38"/>
    <n v="1"/>
    <m/>
  </r>
  <r>
    <n v="293"/>
    <n v="3"/>
    <n v="7"/>
    <x v="0"/>
    <x v="0"/>
    <x v="15"/>
    <x v="0"/>
    <x v="3"/>
    <x v="39"/>
    <n v="1"/>
    <m/>
  </r>
  <r>
    <n v="294"/>
    <n v="3"/>
    <n v="7"/>
    <x v="0"/>
    <x v="1"/>
    <x v="7"/>
    <x v="0"/>
    <x v="4"/>
    <x v="31"/>
    <n v="1"/>
    <m/>
  </r>
  <r>
    <n v="295"/>
    <n v="3"/>
    <n v="7"/>
    <x v="0"/>
    <x v="2"/>
    <x v="16"/>
    <x v="0"/>
    <x v="1"/>
    <x v="40"/>
    <n v="1"/>
    <m/>
  </r>
  <r>
    <n v="296"/>
    <n v="3"/>
    <n v="7"/>
    <x v="1"/>
    <x v="3"/>
    <x v="15"/>
    <x v="0"/>
    <x v="3"/>
    <x v="39"/>
    <n v="1"/>
    <m/>
  </r>
  <r>
    <n v="297"/>
    <n v="3"/>
    <n v="7"/>
    <x v="1"/>
    <x v="4"/>
    <x v="7"/>
    <x v="0"/>
    <x v="4"/>
    <x v="31"/>
    <n v="1"/>
    <m/>
  </r>
  <r>
    <n v="298"/>
    <n v="3"/>
    <n v="7"/>
    <x v="1"/>
    <x v="5"/>
    <x v="16"/>
    <x v="0"/>
    <x v="1"/>
    <x v="40"/>
    <n v="1"/>
    <m/>
  </r>
  <r>
    <n v="299"/>
    <n v="3"/>
    <n v="7"/>
    <x v="2"/>
    <x v="6"/>
    <x v="15"/>
    <x v="0"/>
    <x v="3"/>
    <x v="39"/>
    <n v="1"/>
    <m/>
  </r>
  <r>
    <n v="300"/>
    <n v="3"/>
    <n v="7"/>
    <x v="2"/>
    <x v="7"/>
    <x v="7"/>
    <x v="0"/>
    <x v="4"/>
    <x v="31"/>
    <n v="1"/>
    <m/>
  </r>
  <r>
    <n v="301"/>
    <n v="3"/>
    <n v="7"/>
    <x v="2"/>
    <x v="8"/>
    <x v="16"/>
    <x v="0"/>
    <x v="1"/>
    <x v="40"/>
    <n v="1"/>
    <m/>
  </r>
  <r>
    <n v="302"/>
    <n v="3"/>
    <n v="7"/>
    <x v="3"/>
    <x v="9"/>
    <x v="15"/>
    <x v="0"/>
    <x v="3"/>
    <x v="39"/>
    <n v="1"/>
    <m/>
  </r>
  <r>
    <n v="303"/>
    <n v="3"/>
    <n v="7"/>
    <x v="3"/>
    <x v="10"/>
    <x v="7"/>
    <x v="0"/>
    <x v="4"/>
    <x v="31"/>
    <n v="1"/>
    <m/>
  </r>
  <r>
    <n v="304"/>
    <n v="3"/>
    <n v="7"/>
    <x v="3"/>
    <x v="11"/>
    <x v="16"/>
    <x v="0"/>
    <x v="1"/>
    <x v="40"/>
    <n v="1"/>
    <m/>
  </r>
  <r>
    <n v="305"/>
    <n v="3"/>
    <n v="7"/>
    <x v="4"/>
    <x v="12"/>
    <x v="15"/>
    <x v="0"/>
    <x v="3"/>
    <x v="39"/>
    <n v="1"/>
    <m/>
  </r>
  <r>
    <n v="306"/>
    <n v="3"/>
    <n v="7"/>
    <x v="4"/>
    <x v="13"/>
    <x v="7"/>
    <x v="0"/>
    <x v="4"/>
    <x v="31"/>
    <n v="1"/>
    <m/>
  </r>
  <r>
    <n v="307"/>
    <n v="3"/>
    <n v="7"/>
    <x v="4"/>
    <x v="14"/>
    <x v="16"/>
    <x v="0"/>
    <x v="1"/>
    <x v="40"/>
    <n v="1"/>
    <m/>
  </r>
  <r>
    <n v="308"/>
    <n v="6"/>
    <n v="1"/>
    <x v="5"/>
    <x v="15"/>
    <x v="23"/>
    <x v="2"/>
    <x v="0"/>
    <x v="41"/>
    <n v="1"/>
    <m/>
  </r>
  <r>
    <n v="309"/>
    <n v="6"/>
    <n v="1"/>
    <x v="5"/>
    <x v="16"/>
    <x v="7"/>
    <x v="0"/>
    <x v="1"/>
    <x v="42"/>
    <n v="1"/>
    <m/>
  </r>
  <r>
    <n v="310"/>
    <n v="6"/>
    <n v="1"/>
    <x v="5"/>
    <x v="17"/>
    <x v="15"/>
    <x v="0"/>
    <x v="0"/>
    <x v="43"/>
    <n v="1"/>
    <m/>
  </r>
  <r>
    <n v="311"/>
    <n v="6"/>
    <n v="1"/>
    <x v="0"/>
    <x v="0"/>
    <x v="6"/>
    <x v="0"/>
    <x v="0"/>
    <x v="44"/>
    <n v="1"/>
    <m/>
  </r>
  <r>
    <n v="312"/>
    <n v="6"/>
    <n v="1"/>
    <x v="0"/>
    <x v="1"/>
    <x v="7"/>
    <x v="0"/>
    <x v="1"/>
    <x v="42"/>
    <n v="1"/>
    <m/>
  </r>
  <r>
    <n v="313"/>
    <n v="6"/>
    <n v="1"/>
    <x v="0"/>
    <x v="2"/>
    <x v="15"/>
    <x v="0"/>
    <x v="0"/>
    <x v="43"/>
    <n v="1"/>
    <m/>
  </r>
  <r>
    <n v="314"/>
    <n v="6"/>
    <n v="1"/>
    <x v="1"/>
    <x v="3"/>
    <x v="6"/>
    <x v="0"/>
    <x v="0"/>
    <x v="44"/>
    <n v="1"/>
    <m/>
  </r>
  <r>
    <n v="315"/>
    <n v="6"/>
    <n v="1"/>
    <x v="1"/>
    <x v="4"/>
    <x v="7"/>
    <x v="0"/>
    <x v="1"/>
    <x v="42"/>
    <n v="1"/>
    <m/>
  </r>
  <r>
    <n v="316"/>
    <n v="6"/>
    <n v="1"/>
    <x v="1"/>
    <x v="5"/>
    <x v="15"/>
    <x v="0"/>
    <x v="0"/>
    <x v="43"/>
    <n v="1"/>
    <m/>
  </r>
  <r>
    <n v="317"/>
    <n v="6"/>
    <n v="1"/>
    <x v="2"/>
    <x v="6"/>
    <x v="6"/>
    <x v="0"/>
    <x v="0"/>
    <x v="44"/>
    <n v="1"/>
    <m/>
  </r>
  <r>
    <n v="318"/>
    <n v="6"/>
    <n v="1"/>
    <x v="2"/>
    <x v="7"/>
    <x v="7"/>
    <x v="0"/>
    <x v="1"/>
    <x v="42"/>
    <n v="1"/>
    <m/>
  </r>
  <r>
    <n v="319"/>
    <n v="6"/>
    <n v="1"/>
    <x v="2"/>
    <x v="8"/>
    <x v="15"/>
    <x v="0"/>
    <x v="0"/>
    <x v="43"/>
    <n v="1"/>
    <m/>
  </r>
  <r>
    <n v="320"/>
    <n v="6"/>
    <n v="1"/>
    <x v="3"/>
    <x v="9"/>
    <x v="6"/>
    <x v="0"/>
    <x v="0"/>
    <x v="44"/>
    <n v="1"/>
    <m/>
  </r>
  <r>
    <n v="321"/>
    <n v="6"/>
    <n v="1"/>
    <x v="3"/>
    <x v="10"/>
    <x v="7"/>
    <x v="0"/>
    <x v="1"/>
    <x v="42"/>
    <n v="1"/>
    <m/>
  </r>
  <r>
    <n v="322"/>
    <n v="6"/>
    <n v="1"/>
    <x v="3"/>
    <x v="11"/>
    <x v="15"/>
    <x v="0"/>
    <x v="0"/>
    <x v="43"/>
    <n v="1"/>
    <m/>
  </r>
  <r>
    <n v="323"/>
    <n v="6"/>
    <n v="1"/>
    <x v="4"/>
    <x v="12"/>
    <x v="6"/>
    <x v="0"/>
    <x v="0"/>
    <x v="44"/>
    <n v="1"/>
    <m/>
  </r>
  <r>
    <n v="324"/>
    <n v="6"/>
    <n v="1"/>
    <x v="4"/>
    <x v="13"/>
    <x v="7"/>
    <x v="0"/>
    <x v="1"/>
    <x v="42"/>
    <n v="1"/>
    <m/>
  </r>
  <r>
    <n v="325"/>
    <n v="6"/>
    <n v="1"/>
    <x v="4"/>
    <x v="14"/>
    <x v="15"/>
    <x v="0"/>
    <x v="0"/>
    <x v="43"/>
    <n v="1"/>
    <m/>
  </r>
  <r>
    <n v="326"/>
    <n v="6"/>
    <n v="2"/>
    <x v="5"/>
    <x v="15"/>
    <x v="14"/>
    <x v="0"/>
    <x v="0"/>
    <x v="43"/>
    <n v="1"/>
    <m/>
  </r>
  <r>
    <n v="327"/>
    <n v="6"/>
    <n v="2"/>
    <x v="5"/>
    <x v="16"/>
    <x v="13"/>
    <x v="0"/>
    <x v="1"/>
    <x v="42"/>
    <n v="1"/>
    <m/>
  </r>
  <r>
    <n v="328"/>
    <n v="6"/>
    <n v="2"/>
    <x v="5"/>
    <x v="17"/>
    <x v="24"/>
    <x v="2"/>
    <x v="0"/>
    <x v="45"/>
    <n v="1"/>
    <m/>
  </r>
  <r>
    <n v="329"/>
    <n v="6"/>
    <n v="2"/>
    <x v="0"/>
    <x v="0"/>
    <x v="14"/>
    <x v="0"/>
    <x v="0"/>
    <x v="43"/>
    <n v="1"/>
    <m/>
  </r>
  <r>
    <n v="330"/>
    <n v="6"/>
    <n v="2"/>
    <x v="0"/>
    <x v="1"/>
    <x v="13"/>
    <x v="0"/>
    <x v="1"/>
    <x v="42"/>
    <n v="1"/>
    <m/>
  </r>
  <r>
    <n v="331"/>
    <n v="6"/>
    <n v="2"/>
    <x v="0"/>
    <x v="2"/>
    <x v="25"/>
    <x v="0"/>
    <x v="0"/>
    <x v="46"/>
    <n v="1"/>
    <m/>
  </r>
  <r>
    <n v="332"/>
    <n v="6"/>
    <n v="2"/>
    <x v="1"/>
    <x v="3"/>
    <x v="14"/>
    <x v="0"/>
    <x v="0"/>
    <x v="43"/>
    <n v="1"/>
    <m/>
  </r>
  <r>
    <n v="333"/>
    <n v="6"/>
    <n v="2"/>
    <x v="1"/>
    <x v="4"/>
    <x v="13"/>
    <x v="0"/>
    <x v="1"/>
    <x v="42"/>
    <n v="1"/>
    <m/>
  </r>
  <r>
    <n v="334"/>
    <n v="6"/>
    <n v="2"/>
    <x v="1"/>
    <x v="5"/>
    <x v="25"/>
    <x v="0"/>
    <x v="0"/>
    <x v="46"/>
    <n v="1"/>
    <m/>
  </r>
  <r>
    <n v="335"/>
    <n v="6"/>
    <n v="2"/>
    <x v="2"/>
    <x v="6"/>
    <x v="14"/>
    <x v="0"/>
    <x v="0"/>
    <x v="43"/>
    <n v="1"/>
    <m/>
  </r>
  <r>
    <n v="336"/>
    <n v="6"/>
    <n v="2"/>
    <x v="2"/>
    <x v="7"/>
    <x v="13"/>
    <x v="0"/>
    <x v="1"/>
    <x v="42"/>
    <n v="1"/>
    <m/>
  </r>
  <r>
    <n v="337"/>
    <n v="6"/>
    <n v="2"/>
    <x v="2"/>
    <x v="8"/>
    <x v="25"/>
    <x v="0"/>
    <x v="0"/>
    <x v="46"/>
    <n v="1"/>
    <m/>
  </r>
  <r>
    <n v="338"/>
    <n v="6"/>
    <n v="2"/>
    <x v="3"/>
    <x v="9"/>
    <x v="14"/>
    <x v="0"/>
    <x v="0"/>
    <x v="43"/>
    <n v="1"/>
    <m/>
  </r>
  <r>
    <n v="339"/>
    <n v="6"/>
    <n v="2"/>
    <x v="3"/>
    <x v="10"/>
    <x v="13"/>
    <x v="0"/>
    <x v="1"/>
    <x v="42"/>
    <n v="1"/>
    <m/>
  </r>
  <r>
    <n v="340"/>
    <n v="6"/>
    <n v="2"/>
    <x v="3"/>
    <x v="11"/>
    <x v="25"/>
    <x v="0"/>
    <x v="0"/>
    <x v="46"/>
    <n v="1"/>
    <m/>
  </r>
  <r>
    <n v="341"/>
    <n v="6"/>
    <n v="2"/>
    <x v="4"/>
    <x v="12"/>
    <x v="14"/>
    <x v="0"/>
    <x v="0"/>
    <x v="43"/>
    <n v="1"/>
    <m/>
  </r>
  <r>
    <n v="342"/>
    <n v="6"/>
    <n v="2"/>
    <x v="4"/>
    <x v="13"/>
    <x v="13"/>
    <x v="0"/>
    <x v="1"/>
    <x v="42"/>
    <n v="1"/>
    <m/>
  </r>
  <r>
    <n v="343"/>
    <n v="6"/>
    <n v="2"/>
    <x v="4"/>
    <x v="14"/>
    <x v="25"/>
    <x v="0"/>
    <x v="0"/>
    <x v="46"/>
    <n v="1"/>
    <m/>
  </r>
  <r>
    <n v="344"/>
    <n v="6"/>
    <n v="3"/>
    <x v="5"/>
    <x v="15"/>
    <x v="23"/>
    <x v="2"/>
    <x v="0"/>
    <x v="45"/>
    <n v="1"/>
    <m/>
  </r>
  <r>
    <n v="345"/>
    <n v="6"/>
    <n v="3"/>
    <x v="5"/>
    <x v="16"/>
    <x v="7"/>
    <x v="0"/>
    <x v="1"/>
    <x v="42"/>
    <n v="1"/>
    <m/>
  </r>
  <r>
    <n v="346"/>
    <n v="6"/>
    <n v="3"/>
    <x v="5"/>
    <x v="17"/>
    <x v="15"/>
    <x v="0"/>
    <x v="0"/>
    <x v="43"/>
    <n v="1"/>
    <m/>
  </r>
  <r>
    <n v="347"/>
    <n v="6"/>
    <n v="3"/>
    <x v="0"/>
    <x v="0"/>
    <x v="6"/>
    <x v="0"/>
    <x v="0"/>
    <x v="46"/>
    <n v="1"/>
    <m/>
  </r>
  <r>
    <n v="348"/>
    <n v="6"/>
    <n v="3"/>
    <x v="0"/>
    <x v="1"/>
    <x v="7"/>
    <x v="0"/>
    <x v="1"/>
    <x v="42"/>
    <n v="1"/>
    <m/>
  </r>
  <r>
    <n v="349"/>
    <n v="6"/>
    <n v="3"/>
    <x v="0"/>
    <x v="2"/>
    <x v="15"/>
    <x v="0"/>
    <x v="0"/>
    <x v="43"/>
    <n v="1"/>
    <m/>
  </r>
  <r>
    <n v="350"/>
    <n v="6"/>
    <n v="3"/>
    <x v="1"/>
    <x v="3"/>
    <x v="6"/>
    <x v="0"/>
    <x v="0"/>
    <x v="46"/>
    <n v="1"/>
    <m/>
  </r>
  <r>
    <n v="351"/>
    <n v="6"/>
    <n v="3"/>
    <x v="1"/>
    <x v="4"/>
    <x v="7"/>
    <x v="0"/>
    <x v="1"/>
    <x v="42"/>
    <n v="1"/>
    <m/>
  </r>
  <r>
    <n v="352"/>
    <n v="6"/>
    <n v="3"/>
    <x v="1"/>
    <x v="5"/>
    <x v="15"/>
    <x v="0"/>
    <x v="0"/>
    <x v="43"/>
    <n v="1"/>
    <m/>
  </r>
  <r>
    <n v="353"/>
    <n v="6"/>
    <n v="3"/>
    <x v="2"/>
    <x v="6"/>
    <x v="6"/>
    <x v="0"/>
    <x v="0"/>
    <x v="46"/>
    <n v="1"/>
    <m/>
  </r>
  <r>
    <n v="354"/>
    <n v="6"/>
    <n v="3"/>
    <x v="2"/>
    <x v="7"/>
    <x v="7"/>
    <x v="0"/>
    <x v="1"/>
    <x v="42"/>
    <n v="1"/>
    <m/>
  </r>
  <r>
    <n v="355"/>
    <n v="6"/>
    <n v="3"/>
    <x v="2"/>
    <x v="8"/>
    <x v="15"/>
    <x v="0"/>
    <x v="0"/>
    <x v="43"/>
    <n v="1"/>
    <m/>
  </r>
  <r>
    <n v="356"/>
    <n v="6"/>
    <n v="3"/>
    <x v="3"/>
    <x v="9"/>
    <x v="6"/>
    <x v="0"/>
    <x v="0"/>
    <x v="46"/>
    <n v="1"/>
    <m/>
  </r>
  <r>
    <n v="357"/>
    <n v="6"/>
    <n v="3"/>
    <x v="3"/>
    <x v="10"/>
    <x v="7"/>
    <x v="0"/>
    <x v="1"/>
    <x v="42"/>
    <n v="1"/>
    <m/>
  </r>
  <r>
    <n v="358"/>
    <n v="6"/>
    <n v="3"/>
    <x v="3"/>
    <x v="11"/>
    <x v="15"/>
    <x v="0"/>
    <x v="0"/>
    <x v="43"/>
    <n v="1"/>
    <m/>
  </r>
  <r>
    <n v="359"/>
    <n v="6"/>
    <n v="3"/>
    <x v="4"/>
    <x v="12"/>
    <x v="6"/>
    <x v="0"/>
    <x v="0"/>
    <x v="46"/>
    <n v="1"/>
    <m/>
  </r>
  <r>
    <n v="360"/>
    <n v="6"/>
    <n v="3"/>
    <x v="4"/>
    <x v="13"/>
    <x v="7"/>
    <x v="0"/>
    <x v="1"/>
    <x v="42"/>
    <n v="1"/>
    <m/>
  </r>
  <r>
    <n v="361"/>
    <n v="6"/>
    <n v="3"/>
    <x v="4"/>
    <x v="14"/>
    <x v="15"/>
    <x v="0"/>
    <x v="0"/>
    <x v="43"/>
    <n v="1"/>
    <m/>
  </r>
  <r>
    <n v="362"/>
    <n v="6"/>
    <n v="4"/>
    <x v="5"/>
    <x v="15"/>
    <x v="14"/>
    <x v="0"/>
    <x v="0"/>
    <x v="43"/>
    <n v="1"/>
    <m/>
  </r>
  <r>
    <n v="363"/>
    <n v="6"/>
    <n v="4"/>
    <x v="5"/>
    <x v="16"/>
    <x v="13"/>
    <x v="0"/>
    <x v="1"/>
    <x v="42"/>
    <n v="1"/>
    <m/>
  </r>
  <r>
    <n v="364"/>
    <n v="6"/>
    <n v="4"/>
    <x v="5"/>
    <x v="17"/>
    <x v="24"/>
    <x v="2"/>
    <x v="0"/>
    <x v="45"/>
    <n v="1"/>
    <m/>
  </r>
  <r>
    <n v="365"/>
    <n v="6"/>
    <n v="4"/>
    <x v="0"/>
    <x v="0"/>
    <x v="14"/>
    <x v="0"/>
    <x v="0"/>
    <x v="43"/>
    <n v="1"/>
    <m/>
  </r>
  <r>
    <n v="366"/>
    <n v="6"/>
    <n v="4"/>
    <x v="0"/>
    <x v="1"/>
    <x v="13"/>
    <x v="0"/>
    <x v="1"/>
    <x v="42"/>
    <n v="1"/>
    <m/>
  </r>
  <r>
    <n v="367"/>
    <n v="6"/>
    <n v="4"/>
    <x v="0"/>
    <x v="2"/>
    <x v="25"/>
    <x v="0"/>
    <x v="0"/>
    <x v="46"/>
    <n v="1"/>
    <m/>
  </r>
  <r>
    <n v="368"/>
    <n v="6"/>
    <n v="4"/>
    <x v="1"/>
    <x v="3"/>
    <x v="14"/>
    <x v="0"/>
    <x v="0"/>
    <x v="43"/>
    <n v="1"/>
    <m/>
  </r>
  <r>
    <n v="369"/>
    <n v="6"/>
    <n v="4"/>
    <x v="1"/>
    <x v="4"/>
    <x v="13"/>
    <x v="0"/>
    <x v="1"/>
    <x v="42"/>
    <n v="1"/>
    <m/>
  </r>
  <r>
    <n v="370"/>
    <n v="6"/>
    <n v="4"/>
    <x v="1"/>
    <x v="5"/>
    <x v="25"/>
    <x v="0"/>
    <x v="0"/>
    <x v="46"/>
    <n v="1"/>
    <m/>
  </r>
  <r>
    <n v="371"/>
    <n v="6"/>
    <n v="4"/>
    <x v="2"/>
    <x v="6"/>
    <x v="14"/>
    <x v="0"/>
    <x v="0"/>
    <x v="43"/>
    <n v="1"/>
    <m/>
  </r>
  <r>
    <n v="372"/>
    <n v="6"/>
    <n v="4"/>
    <x v="2"/>
    <x v="7"/>
    <x v="13"/>
    <x v="0"/>
    <x v="1"/>
    <x v="42"/>
    <n v="1"/>
    <m/>
  </r>
  <r>
    <n v="373"/>
    <n v="6"/>
    <n v="4"/>
    <x v="2"/>
    <x v="8"/>
    <x v="25"/>
    <x v="0"/>
    <x v="0"/>
    <x v="46"/>
    <n v="1"/>
    <m/>
  </r>
  <r>
    <n v="374"/>
    <n v="6"/>
    <n v="4"/>
    <x v="3"/>
    <x v="9"/>
    <x v="14"/>
    <x v="0"/>
    <x v="0"/>
    <x v="43"/>
    <n v="1"/>
    <m/>
  </r>
  <r>
    <n v="375"/>
    <n v="6"/>
    <n v="4"/>
    <x v="3"/>
    <x v="10"/>
    <x v="13"/>
    <x v="0"/>
    <x v="1"/>
    <x v="42"/>
    <n v="1"/>
    <m/>
  </r>
  <r>
    <n v="376"/>
    <n v="6"/>
    <n v="4"/>
    <x v="3"/>
    <x v="11"/>
    <x v="25"/>
    <x v="0"/>
    <x v="0"/>
    <x v="46"/>
    <n v="1"/>
    <m/>
  </r>
  <r>
    <n v="377"/>
    <n v="6"/>
    <n v="4"/>
    <x v="4"/>
    <x v="12"/>
    <x v="14"/>
    <x v="0"/>
    <x v="0"/>
    <x v="43"/>
    <n v="1"/>
    <m/>
  </r>
  <r>
    <n v="378"/>
    <n v="6"/>
    <n v="4"/>
    <x v="4"/>
    <x v="13"/>
    <x v="13"/>
    <x v="0"/>
    <x v="1"/>
    <x v="42"/>
    <n v="1"/>
    <m/>
  </r>
  <r>
    <n v="379"/>
    <n v="6"/>
    <n v="4"/>
    <x v="4"/>
    <x v="14"/>
    <x v="25"/>
    <x v="0"/>
    <x v="0"/>
    <x v="46"/>
    <n v="1"/>
    <m/>
  </r>
  <r>
    <n v="380"/>
    <n v="6"/>
    <n v="5"/>
    <x v="5"/>
    <x v="15"/>
    <x v="23"/>
    <x v="2"/>
    <x v="0"/>
    <x v="45"/>
    <n v="1"/>
    <m/>
  </r>
  <r>
    <n v="381"/>
    <n v="6"/>
    <n v="5"/>
    <x v="5"/>
    <x v="16"/>
    <x v="7"/>
    <x v="0"/>
    <x v="1"/>
    <x v="42"/>
    <n v="1"/>
    <m/>
  </r>
  <r>
    <n v="382"/>
    <n v="6"/>
    <n v="5"/>
    <x v="5"/>
    <x v="17"/>
    <x v="15"/>
    <x v="0"/>
    <x v="0"/>
    <x v="47"/>
    <n v="1"/>
    <m/>
  </r>
  <r>
    <n v="383"/>
    <n v="6"/>
    <n v="5"/>
    <x v="0"/>
    <x v="0"/>
    <x v="6"/>
    <x v="0"/>
    <x v="0"/>
    <x v="46"/>
    <n v="1"/>
    <m/>
  </r>
  <r>
    <n v="384"/>
    <n v="6"/>
    <n v="5"/>
    <x v="0"/>
    <x v="1"/>
    <x v="7"/>
    <x v="0"/>
    <x v="1"/>
    <x v="42"/>
    <n v="1"/>
    <m/>
  </r>
  <r>
    <n v="385"/>
    <n v="6"/>
    <n v="5"/>
    <x v="0"/>
    <x v="2"/>
    <x v="15"/>
    <x v="0"/>
    <x v="0"/>
    <x v="47"/>
    <n v="1"/>
    <m/>
  </r>
  <r>
    <n v="386"/>
    <n v="6"/>
    <n v="5"/>
    <x v="1"/>
    <x v="3"/>
    <x v="6"/>
    <x v="0"/>
    <x v="0"/>
    <x v="46"/>
    <n v="1"/>
    <m/>
  </r>
  <r>
    <n v="387"/>
    <n v="6"/>
    <n v="5"/>
    <x v="1"/>
    <x v="4"/>
    <x v="7"/>
    <x v="0"/>
    <x v="1"/>
    <x v="42"/>
    <n v="1"/>
    <m/>
  </r>
  <r>
    <n v="388"/>
    <n v="6"/>
    <n v="5"/>
    <x v="1"/>
    <x v="5"/>
    <x v="15"/>
    <x v="0"/>
    <x v="0"/>
    <x v="47"/>
    <n v="1"/>
    <m/>
  </r>
  <r>
    <n v="389"/>
    <n v="6"/>
    <n v="5"/>
    <x v="2"/>
    <x v="6"/>
    <x v="6"/>
    <x v="0"/>
    <x v="0"/>
    <x v="46"/>
    <n v="1"/>
    <m/>
  </r>
  <r>
    <n v="390"/>
    <n v="6"/>
    <n v="5"/>
    <x v="2"/>
    <x v="7"/>
    <x v="7"/>
    <x v="0"/>
    <x v="1"/>
    <x v="42"/>
    <n v="1"/>
    <m/>
  </r>
  <r>
    <n v="391"/>
    <n v="6"/>
    <n v="5"/>
    <x v="2"/>
    <x v="8"/>
    <x v="15"/>
    <x v="0"/>
    <x v="0"/>
    <x v="47"/>
    <n v="1"/>
    <m/>
  </r>
  <r>
    <n v="392"/>
    <n v="6"/>
    <n v="5"/>
    <x v="3"/>
    <x v="9"/>
    <x v="6"/>
    <x v="0"/>
    <x v="0"/>
    <x v="46"/>
    <n v="1"/>
    <m/>
  </r>
  <r>
    <n v="393"/>
    <n v="6"/>
    <n v="5"/>
    <x v="3"/>
    <x v="10"/>
    <x v="7"/>
    <x v="0"/>
    <x v="1"/>
    <x v="42"/>
    <n v="1"/>
    <m/>
  </r>
  <r>
    <n v="394"/>
    <n v="6"/>
    <n v="5"/>
    <x v="3"/>
    <x v="11"/>
    <x v="15"/>
    <x v="0"/>
    <x v="0"/>
    <x v="47"/>
    <n v="1"/>
    <m/>
  </r>
  <r>
    <n v="395"/>
    <n v="6"/>
    <n v="5"/>
    <x v="4"/>
    <x v="12"/>
    <x v="6"/>
    <x v="0"/>
    <x v="0"/>
    <x v="46"/>
    <n v="1"/>
    <m/>
  </r>
  <r>
    <n v="396"/>
    <n v="6"/>
    <n v="5"/>
    <x v="4"/>
    <x v="13"/>
    <x v="7"/>
    <x v="0"/>
    <x v="1"/>
    <x v="42"/>
    <n v="1"/>
    <m/>
  </r>
  <r>
    <n v="397"/>
    <n v="6"/>
    <n v="5"/>
    <x v="4"/>
    <x v="14"/>
    <x v="15"/>
    <x v="0"/>
    <x v="0"/>
    <x v="47"/>
    <n v="1"/>
    <m/>
  </r>
  <r>
    <n v="398"/>
    <n v="2"/>
    <n v="1"/>
    <x v="5"/>
    <x v="15"/>
    <x v="14"/>
    <x v="0"/>
    <x v="3"/>
    <x v="48"/>
    <n v="1"/>
    <m/>
  </r>
  <r>
    <n v="399"/>
    <n v="2"/>
    <n v="1"/>
    <x v="5"/>
    <x v="16"/>
    <x v="13"/>
    <x v="0"/>
    <x v="5"/>
    <x v="49"/>
    <n v="1"/>
    <m/>
  </r>
  <r>
    <n v="400"/>
    <n v="2"/>
    <n v="1"/>
    <x v="5"/>
    <x v="17"/>
    <x v="32"/>
    <x v="2"/>
    <x v="1"/>
    <x v="50"/>
    <n v="1"/>
    <m/>
  </r>
  <r>
    <n v="401"/>
    <n v="2"/>
    <n v="1"/>
    <x v="0"/>
    <x v="0"/>
    <x v="14"/>
    <x v="0"/>
    <x v="3"/>
    <x v="48"/>
    <n v="1"/>
    <m/>
  </r>
  <r>
    <n v="402"/>
    <n v="2"/>
    <n v="1"/>
    <x v="0"/>
    <x v="1"/>
    <x v="13"/>
    <x v="0"/>
    <x v="5"/>
    <x v="49"/>
    <n v="1"/>
    <m/>
  </r>
  <r>
    <n v="403"/>
    <n v="2"/>
    <n v="1"/>
    <x v="0"/>
    <x v="2"/>
    <x v="33"/>
    <x v="0"/>
    <x v="1"/>
    <x v="51"/>
    <n v="1"/>
    <m/>
  </r>
  <r>
    <n v="404"/>
    <n v="2"/>
    <n v="1"/>
    <x v="1"/>
    <x v="3"/>
    <x v="14"/>
    <x v="0"/>
    <x v="3"/>
    <x v="48"/>
    <n v="1"/>
    <m/>
  </r>
  <r>
    <n v="405"/>
    <n v="2"/>
    <n v="1"/>
    <x v="1"/>
    <x v="4"/>
    <x v="13"/>
    <x v="0"/>
    <x v="5"/>
    <x v="49"/>
    <n v="1"/>
    <m/>
  </r>
  <r>
    <n v="406"/>
    <n v="2"/>
    <n v="1"/>
    <x v="1"/>
    <x v="5"/>
    <x v="33"/>
    <x v="0"/>
    <x v="1"/>
    <x v="51"/>
    <n v="1"/>
    <m/>
  </r>
  <r>
    <n v="407"/>
    <n v="2"/>
    <n v="1"/>
    <x v="2"/>
    <x v="6"/>
    <x v="14"/>
    <x v="0"/>
    <x v="3"/>
    <x v="48"/>
    <n v="1"/>
    <m/>
  </r>
  <r>
    <n v="408"/>
    <n v="2"/>
    <n v="1"/>
    <x v="2"/>
    <x v="7"/>
    <x v="13"/>
    <x v="0"/>
    <x v="5"/>
    <x v="49"/>
    <n v="1"/>
    <m/>
  </r>
  <r>
    <n v="409"/>
    <n v="2"/>
    <n v="1"/>
    <x v="2"/>
    <x v="8"/>
    <x v="33"/>
    <x v="0"/>
    <x v="1"/>
    <x v="51"/>
    <n v="1"/>
    <m/>
  </r>
  <r>
    <n v="410"/>
    <n v="2"/>
    <n v="1"/>
    <x v="3"/>
    <x v="9"/>
    <x v="14"/>
    <x v="0"/>
    <x v="3"/>
    <x v="48"/>
    <n v="1"/>
    <m/>
  </r>
  <r>
    <n v="411"/>
    <n v="2"/>
    <n v="1"/>
    <x v="3"/>
    <x v="10"/>
    <x v="13"/>
    <x v="0"/>
    <x v="5"/>
    <x v="49"/>
    <n v="1"/>
    <m/>
  </r>
  <r>
    <n v="412"/>
    <n v="2"/>
    <n v="1"/>
    <x v="3"/>
    <x v="11"/>
    <x v="33"/>
    <x v="0"/>
    <x v="1"/>
    <x v="51"/>
    <n v="1"/>
    <m/>
  </r>
  <r>
    <n v="413"/>
    <n v="2"/>
    <n v="1"/>
    <x v="4"/>
    <x v="12"/>
    <x v="14"/>
    <x v="0"/>
    <x v="3"/>
    <x v="48"/>
    <n v="1"/>
    <m/>
  </r>
  <r>
    <n v="414"/>
    <n v="2"/>
    <n v="1"/>
    <x v="4"/>
    <x v="13"/>
    <x v="13"/>
    <x v="0"/>
    <x v="5"/>
    <x v="49"/>
    <n v="1"/>
    <m/>
  </r>
  <r>
    <n v="415"/>
    <n v="2"/>
    <n v="1"/>
    <x v="4"/>
    <x v="14"/>
    <x v="33"/>
    <x v="0"/>
    <x v="1"/>
    <x v="51"/>
    <n v="1"/>
    <m/>
  </r>
  <r>
    <n v="416"/>
    <n v="2"/>
    <n v="2"/>
    <x v="0"/>
    <x v="0"/>
    <x v="34"/>
    <x v="0"/>
    <x v="0"/>
    <x v="52"/>
    <n v="1"/>
    <m/>
  </r>
  <r>
    <n v="417"/>
    <n v="2"/>
    <n v="2"/>
    <x v="0"/>
    <x v="1"/>
    <x v="35"/>
    <x v="0"/>
    <x v="6"/>
    <x v="53"/>
    <n v="1"/>
    <m/>
  </r>
  <r>
    <n v="418"/>
    <n v="2"/>
    <n v="2"/>
    <x v="0"/>
    <x v="2"/>
    <x v="36"/>
    <x v="1"/>
    <x v="3"/>
    <x v="54"/>
    <n v="1"/>
    <m/>
  </r>
  <r>
    <n v="419"/>
    <n v="2"/>
    <n v="2"/>
    <x v="1"/>
    <x v="3"/>
    <x v="34"/>
    <x v="0"/>
    <x v="0"/>
    <x v="52"/>
    <n v="1"/>
    <m/>
  </r>
  <r>
    <n v="420"/>
    <n v="2"/>
    <n v="2"/>
    <x v="1"/>
    <x v="4"/>
    <x v="35"/>
    <x v="0"/>
    <x v="6"/>
    <x v="53"/>
    <n v="1"/>
    <m/>
  </r>
  <r>
    <n v="421"/>
    <n v="2"/>
    <n v="2"/>
    <x v="1"/>
    <x v="5"/>
    <x v="36"/>
    <x v="1"/>
    <x v="3"/>
    <x v="54"/>
    <n v="1"/>
    <m/>
  </r>
  <r>
    <n v="422"/>
    <n v="2"/>
    <n v="2"/>
    <x v="2"/>
    <x v="6"/>
    <x v="34"/>
    <x v="0"/>
    <x v="0"/>
    <x v="52"/>
    <n v="1"/>
    <m/>
  </r>
  <r>
    <n v="423"/>
    <n v="2"/>
    <n v="2"/>
    <x v="2"/>
    <x v="7"/>
    <x v="35"/>
    <x v="0"/>
    <x v="6"/>
    <x v="53"/>
    <n v="1"/>
    <m/>
  </r>
  <r>
    <n v="424"/>
    <n v="2"/>
    <n v="2"/>
    <x v="2"/>
    <x v="8"/>
    <x v="36"/>
    <x v="1"/>
    <x v="3"/>
    <x v="54"/>
    <n v="1"/>
    <m/>
  </r>
  <r>
    <n v="425"/>
    <n v="2"/>
    <n v="2"/>
    <x v="3"/>
    <x v="9"/>
    <x v="34"/>
    <x v="0"/>
    <x v="0"/>
    <x v="52"/>
    <n v="1"/>
    <m/>
  </r>
  <r>
    <n v="426"/>
    <n v="2"/>
    <n v="2"/>
    <x v="3"/>
    <x v="10"/>
    <x v="35"/>
    <x v="0"/>
    <x v="6"/>
    <x v="53"/>
    <n v="1"/>
    <m/>
  </r>
  <r>
    <n v="427"/>
    <n v="2"/>
    <n v="2"/>
    <x v="3"/>
    <x v="11"/>
    <x v="36"/>
    <x v="1"/>
    <x v="3"/>
    <x v="54"/>
    <n v="1"/>
    <m/>
  </r>
  <r>
    <n v="428"/>
    <n v="2"/>
    <n v="2"/>
    <x v="4"/>
    <x v="12"/>
    <x v="34"/>
    <x v="0"/>
    <x v="0"/>
    <x v="52"/>
    <n v="1"/>
    <m/>
  </r>
  <r>
    <n v="429"/>
    <n v="2"/>
    <n v="2"/>
    <x v="4"/>
    <x v="13"/>
    <x v="35"/>
    <x v="0"/>
    <x v="6"/>
    <x v="53"/>
    <n v="1"/>
    <m/>
  </r>
  <r>
    <n v="430"/>
    <n v="2"/>
    <n v="2"/>
    <x v="4"/>
    <x v="14"/>
    <x v="36"/>
    <x v="1"/>
    <x v="3"/>
    <x v="54"/>
    <n v="1"/>
    <m/>
  </r>
  <r>
    <n v="431"/>
    <n v="2"/>
    <n v="3"/>
    <x v="0"/>
    <x v="0"/>
    <x v="37"/>
    <x v="0"/>
    <x v="0"/>
    <x v="55"/>
    <n v="1"/>
    <m/>
  </r>
  <r>
    <n v="432"/>
    <n v="2"/>
    <n v="3"/>
    <x v="0"/>
    <x v="1"/>
    <x v="7"/>
    <x v="0"/>
    <x v="1"/>
    <x v="49"/>
    <n v="1"/>
    <m/>
  </r>
  <r>
    <n v="433"/>
    <n v="2"/>
    <n v="3"/>
    <x v="0"/>
    <x v="2"/>
    <x v="15"/>
    <x v="0"/>
    <x v="0"/>
    <x v="56"/>
    <n v="1"/>
    <m/>
  </r>
  <r>
    <n v="434"/>
    <n v="2"/>
    <n v="3"/>
    <x v="1"/>
    <x v="3"/>
    <x v="37"/>
    <x v="0"/>
    <x v="0"/>
    <x v="55"/>
    <n v="1"/>
    <m/>
  </r>
  <r>
    <n v="435"/>
    <n v="2"/>
    <n v="3"/>
    <x v="1"/>
    <x v="4"/>
    <x v="7"/>
    <x v="0"/>
    <x v="1"/>
    <x v="49"/>
    <n v="1"/>
    <m/>
  </r>
  <r>
    <n v="436"/>
    <n v="2"/>
    <n v="3"/>
    <x v="1"/>
    <x v="5"/>
    <x v="15"/>
    <x v="0"/>
    <x v="0"/>
    <x v="56"/>
    <n v="1"/>
    <m/>
  </r>
  <r>
    <n v="437"/>
    <n v="2"/>
    <n v="3"/>
    <x v="2"/>
    <x v="6"/>
    <x v="37"/>
    <x v="0"/>
    <x v="0"/>
    <x v="55"/>
    <n v="1"/>
    <m/>
  </r>
  <r>
    <n v="438"/>
    <n v="2"/>
    <n v="3"/>
    <x v="2"/>
    <x v="7"/>
    <x v="7"/>
    <x v="0"/>
    <x v="1"/>
    <x v="49"/>
    <n v="1"/>
    <m/>
  </r>
  <r>
    <n v="439"/>
    <n v="2"/>
    <n v="3"/>
    <x v="2"/>
    <x v="8"/>
    <x v="15"/>
    <x v="0"/>
    <x v="0"/>
    <x v="56"/>
    <n v="1"/>
    <m/>
  </r>
  <r>
    <n v="440"/>
    <n v="2"/>
    <n v="3"/>
    <x v="3"/>
    <x v="9"/>
    <x v="37"/>
    <x v="0"/>
    <x v="0"/>
    <x v="55"/>
    <n v="1"/>
    <m/>
  </r>
  <r>
    <n v="441"/>
    <n v="2"/>
    <n v="3"/>
    <x v="3"/>
    <x v="10"/>
    <x v="7"/>
    <x v="0"/>
    <x v="1"/>
    <x v="49"/>
    <n v="1"/>
    <m/>
  </r>
  <r>
    <n v="442"/>
    <n v="2"/>
    <n v="3"/>
    <x v="3"/>
    <x v="11"/>
    <x v="15"/>
    <x v="0"/>
    <x v="0"/>
    <x v="56"/>
    <n v="1"/>
    <m/>
  </r>
  <r>
    <n v="443"/>
    <n v="2"/>
    <n v="3"/>
    <x v="4"/>
    <x v="12"/>
    <x v="37"/>
    <x v="0"/>
    <x v="0"/>
    <x v="55"/>
    <n v="1"/>
    <m/>
  </r>
  <r>
    <n v="444"/>
    <n v="2"/>
    <n v="3"/>
    <x v="4"/>
    <x v="13"/>
    <x v="7"/>
    <x v="0"/>
    <x v="1"/>
    <x v="49"/>
    <n v="1"/>
    <m/>
  </r>
  <r>
    <n v="445"/>
    <n v="2"/>
    <n v="3"/>
    <x v="4"/>
    <x v="14"/>
    <x v="15"/>
    <x v="0"/>
    <x v="0"/>
    <x v="56"/>
    <n v="1"/>
    <m/>
  </r>
  <r>
    <n v="446"/>
    <n v="2"/>
    <n v="4"/>
    <x v="0"/>
    <x v="0"/>
    <x v="0"/>
    <x v="0"/>
    <x v="0"/>
    <x v="57"/>
    <n v="1"/>
    <m/>
  </r>
  <r>
    <n v="447"/>
    <n v="2"/>
    <n v="4"/>
    <x v="0"/>
    <x v="1"/>
    <x v="1"/>
    <x v="0"/>
    <x v="1"/>
    <x v="58"/>
    <n v="1"/>
    <m/>
  </r>
  <r>
    <n v="448"/>
    <n v="2"/>
    <n v="4"/>
    <x v="0"/>
    <x v="2"/>
    <x v="2"/>
    <x v="0"/>
    <x v="0"/>
    <x v="59"/>
    <n v="1"/>
    <m/>
  </r>
  <r>
    <n v="449"/>
    <n v="2"/>
    <n v="4"/>
    <x v="1"/>
    <x v="3"/>
    <x v="0"/>
    <x v="0"/>
    <x v="0"/>
    <x v="57"/>
    <n v="1"/>
    <m/>
  </r>
  <r>
    <n v="450"/>
    <n v="2"/>
    <n v="4"/>
    <x v="1"/>
    <x v="4"/>
    <x v="1"/>
    <x v="0"/>
    <x v="1"/>
    <x v="58"/>
    <n v="1"/>
    <m/>
  </r>
  <r>
    <n v="451"/>
    <n v="2"/>
    <n v="4"/>
    <x v="1"/>
    <x v="5"/>
    <x v="2"/>
    <x v="0"/>
    <x v="0"/>
    <x v="59"/>
    <n v="1"/>
    <m/>
  </r>
  <r>
    <n v="452"/>
    <n v="2"/>
    <n v="4"/>
    <x v="2"/>
    <x v="6"/>
    <x v="0"/>
    <x v="0"/>
    <x v="0"/>
    <x v="57"/>
    <n v="1"/>
    <m/>
  </r>
  <r>
    <n v="453"/>
    <n v="2"/>
    <n v="4"/>
    <x v="2"/>
    <x v="7"/>
    <x v="1"/>
    <x v="0"/>
    <x v="1"/>
    <x v="58"/>
    <n v="1"/>
    <m/>
  </r>
  <r>
    <n v="454"/>
    <n v="2"/>
    <n v="4"/>
    <x v="2"/>
    <x v="8"/>
    <x v="2"/>
    <x v="0"/>
    <x v="0"/>
    <x v="59"/>
    <n v="1"/>
    <m/>
  </r>
  <r>
    <n v="455"/>
    <n v="2"/>
    <n v="4"/>
    <x v="3"/>
    <x v="9"/>
    <x v="0"/>
    <x v="0"/>
    <x v="0"/>
    <x v="57"/>
    <n v="1"/>
    <m/>
  </r>
  <r>
    <n v="456"/>
    <n v="2"/>
    <n v="4"/>
    <x v="3"/>
    <x v="10"/>
    <x v="1"/>
    <x v="0"/>
    <x v="1"/>
    <x v="58"/>
    <n v="1"/>
    <m/>
  </r>
  <r>
    <n v="457"/>
    <n v="2"/>
    <n v="4"/>
    <x v="3"/>
    <x v="11"/>
    <x v="2"/>
    <x v="0"/>
    <x v="0"/>
    <x v="59"/>
    <n v="1"/>
    <m/>
  </r>
  <r>
    <n v="458"/>
    <n v="2"/>
    <n v="4"/>
    <x v="4"/>
    <x v="12"/>
    <x v="0"/>
    <x v="0"/>
    <x v="0"/>
    <x v="57"/>
    <n v="1"/>
    <m/>
  </r>
  <r>
    <n v="459"/>
    <n v="2"/>
    <n v="4"/>
    <x v="4"/>
    <x v="13"/>
    <x v="1"/>
    <x v="0"/>
    <x v="1"/>
    <x v="58"/>
    <n v="1"/>
    <m/>
  </r>
  <r>
    <n v="460"/>
    <n v="2"/>
    <n v="4"/>
    <x v="4"/>
    <x v="14"/>
    <x v="2"/>
    <x v="0"/>
    <x v="0"/>
    <x v="59"/>
    <n v="1"/>
    <m/>
  </r>
  <r>
    <n v="461"/>
    <n v="2"/>
    <n v="5"/>
    <x v="0"/>
    <x v="0"/>
    <x v="3"/>
    <x v="0"/>
    <x v="0"/>
    <x v="59"/>
    <n v="1"/>
    <m/>
  </r>
  <r>
    <n v="462"/>
    <n v="2"/>
    <n v="5"/>
    <x v="0"/>
    <x v="1"/>
    <x v="4"/>
    <x v="0"/>
    <x v="1"/>
    <x v="58"/>
    <n v="1"/>
    <m/>
  </r>
  <r>
    <n v="463"/>
    <n v="2"/>
    <n v="5"/>
    <x v="0"/>
    <x v="2"/>
    <x v="5"/>
    <x v="0"/>
    <x v="0"/>
    <x v="57"/>
    <n v="1"/>
    <m/>
  </r>
  <r>
    <n v="464"/>
    <n v="2"/>
    <n v="5"/>
    <x v="1"/>
    <x v="3"/>
    <x v="3"/>
    <x v="0"/>
    <x v="0"/>
    <x v="59"/>
    <n v="1"/>
    <m/>
  </r>
  <r>
    <n v="465"/>
    <n v="2"/>
    <n v="5"/>
    <x v="1"/>
    <x v="4"/>
    <x v="4"/>
    <x v="0"/>
    <x v="1"/>
    <x v="58"/>
    <n v="1"/>
    <m/>
  </r>
  <r>
    <n v="466"/>
    <n v="2"/>
    <n v="5"/>
    <x v="1"/>
    <x v="5"/>
    <x v="5"/>
    <x v="0"/>
    <x v="0"/>
    <x v="57"/>
    <n v="1"/>
    <m/>
  </r>
  <r>
    <n v="467"/>
    <n v="2"/>
    <n v="5"/>
    <x v="2"/>
    <x v="6"/>
    <x v="3"/>
    <x v="0"/>
    <x v="0"/>
    <x v="59"/>
    <n v="1"/>
    <m/>
  </r>
  <r>
    <n v="468"/>
    <n v="2"/>
    <n v="5"/>
    <x v="2"/>
    <x v="7"/>
    <x v="4"/>
    <x v="0"/>
    <x v="1"/>
    <x v="58"/>
    <n v="1"/>
    <m/>
  </r>
  <r>
    <n v="469"/>
    <n v="2"/>
    <n v="5"/>
    <x v="2"/>
    <x v="8"/>
    <x v="5"/>
    <x v="0"/>
    <x v="0"/>
    <x v="57"/>
    <n v="1"/>
    <m/>
  </r>
  <r>
    <n v="470"/>
    <n v="2"/>
    <n v="5"/>
    <x v="3"/>
    <x v="9"/>
    <x v="3"/>
    <x v="0"/>
    <x v="0"/>
    <x v="59"/>
    <n v="1"/>
    <m/>
  </r>
  <r>
    <n v="471"/>
    <n v="2"/>
    <n v="5"/>
    <x v="3"/>
    <x v="10"/>
    <x v="4"/>
    <x v="0"/>
    <x v="1"/>
    <x v="58"/>
    <n v="1"/>
    <m/>
  </r>
  <r>
    <n v="472"/>
    <n v="2"/>
    <n v="5"/>
    <x v="3"/>
    <x v="11"/>
    <x v="5"/>
    <x v="0"/>
    <x v="0"/>
    <x v="57"/>
    <n v="1"/>
    <m/>
  </r>
  <r>
    <n v="473"/>
    <n v="2"/>
    <n v="5"/>
    <x v="4"/>
    <x v="12"/>
    <x v="3"/>
    <x v="0"/>
    <x v="0"/>
    <x v="59"/>
    <n v="1"/>
    <m/>
  </r>
  <r>
    <n v="474"/>
    <n v="2"/>
    <n v="5"/>
    <x v="4"/>
    <x v="13"/>
    <x v="4"/>
    <x v="0"/>
    <x v="1"/>
    <x v="58"/>
    <n v="1"/>
    <m/>
  </r>
  <r>
    <n v="475"/>
    <n v="2"/>
    <n v="5"/>
    <x v="4"/>
    <x v="14"/>
    <x v="5"/>
    <x v="0"/>
    <x v="0"/>
    <x v="57"/>
    <n v="1"/>
    <m/>
  </r>
  <r>
    <n v="476"/>
    <n v="2"/>
    <n v="6"/>
    <x v="0"/>
    <x v="0"/>
    <x v="0"/>
    <x v="0"/>
    <x v="0"/>
    <x v="57"/>
    <n v="1"/>
    <m/>
  </r>
  <r>
    <n v="477"/>
    <n v="2"/>
    <n v="6"/>
    <x v="0"/>
    <x v="1"/>
    <x v="1"/>
    <x v="0"/>
    <x v="1"/>
    <x v="58"/>
    <n v="1"/>
    <m/>
  </r>
  <r>
    <n v="478"/>
    <n v="2"/>
    <n v="6"/>
    <x v="0"/>
    <x v="2"/>
    <x v="2"/>
    <x v="0"/>
    <x v="0"/>
    <x v="59"/>
    <n v="1"/>
    <m/>
  </r>
  <r>
    <n v="479"/>
    <n v="2"/>
    <n v="6"/>
    <x v="1"/>
    <x v="3"/>
    <x v="0"/>
    <x v="0"/>
    <x v="0"/>
    <x v="57"/>
    <n v="1"/>
    <m/>
  </r>
  <r>
    <n v="480"/>
    <n v="2"/>
    <n v="6"/>
    <x v="1"/>
    <x v="4"/>
    <x v="1"/>
    <x v="0"/>
    <x v="1"/>
    <x v="58"/>
    <n v="1"/>
    <m/>
  </r>
  <r>
    <n v="481"/>
    <n v="2"/>
    <n v="6"/>
    <x v="1"/>
    <x v="5"/>
    <x v="2"/>
    <x v="0"/>
    <x v="0"/>
    <x v="59"/>
    <n v="1"/>
    <m/>
  </r>
  <r>
    <n v="482"/>
    <n v="2"/>
    <n v="6"/>
    <x v="2"/>
    <x v="6"/>
    <x v="0"/>
    <x v="0"/>
    <x v="0"/>
    <x v="57"/>
    <n v="1"/>
    <m/>
  </r>
  <r>
    <n v="483"/>
    <n v="2"/>
    <n v="6"/>
    <x v="2"/>
    <x v="7"/>
    <x v="1"/>
    <x v="0"/>
    <x v="1"/>
    <x v="58"/>
    <n v="1"/>
    <m/>
  </r>
  <r>
    <n v="484"/>
    <n v="2"/>
    <n v="6"/>
    <x v="2"/>
    <x v="8"/>
    <x v="2"/>
    <x v="0"/>
    <x v="0"/>
    <x v="59"/>
    <n v="1"/>
    <m/>
  </r>
  <r>
    <n v="485"/>
    <n v="2"/>
    <n v="6"/>
    <x v="3"/>
    <x v="9"/>
    <x v="0"/>
    <x v="0"/>
    <x v="0"/>
    <x v="57"/>
    <n v="1"/>
    <m/>
  </r>
  <r>
    <n v="486"/>
    <n v="2"/>
    <n v="6"/>
    <x v="3"/>
    <x v="10"/>
    <x v="1"/>
    <x v="0"/>
    <x v="1"/>
    <x v="58"/>
    <n v="1"/>
    <m/>
  </r>
  <r>
    <n v="487"/>
    <n v="2"/>
    <n v="6"/>
    <x v="3"/>
    <x v="11"/>
    <x v="2"/>
    <x v="0"/>
    <x v="0"/>
    <x v="59"/>
    <n v="1"/>
    <m/>
  </r>
  <r>
    <n v="488"/>
    <n v="2"/>
    <n v="6"/>
    <x v="4"/>
    <x v="12"/>
    <x v="0"/>
    <x v="0"/>
    <x v="0"/>
    <x v="57"/>
    <n v="1"/>
    <m/>
  </r>
  <r>
    <n v="489"/>
    <n v="2"/>
    <n v="6"/>
    <x v="4"/>
    <x v="13"/>
    <x v="1"/>
    <x v="0"/>
    <x v="1"/>
    <x v="58"/>
    <n v="1"/>
    <m/>
  </r>
  <r>
    <n v="490"/>
    <n v="2"/>
    <n v="6"/>
    <x v="4"/>
    <x v="14"/>
    <x v="2"/>
    <x v="0"/>
    <x v="0"/>
    <x v="59"/>
    <n v="1"/>
    <m/>
  </r>
  <r>
    <n v="491"/>
    <n v="2"/>
    <n v="7"/>
    <x v="0"/>
    <x v="0"/>
    <x v="6"/>
    <x v="0"/>
    <x v="0"/>
    <x v="60"/>
    <n v="1"/>
    <m/>
  </r>
  <r>
    <n v="492"/>
    <n v="2"/>
    <n v="7"/>
    <x v="0"/>
    <x v="1"/>
    <x v="7"/>
    <x v="0"/>
    <x v="1"/>
    <x v="61"/>
    <n v="1"/>
    <m/>
  </r>
  <r>
    <n v="493"/>
    <n v="2"/>
    <n v="7"/>
    <x v="0"/>
    <x v="2"/>
    <x v="8"/>
    <x v="0"/>
    <x v="0"/>
    <x v="62"/>
    <n v="1"/>
    <m/>
  </r>
  <r>
    <n v="494"/>
    <n v="2"/>
    <n v="7"/>
    <x v="1"/>
    <x v="3"/>
    <x v="6"/>
    <x v="0"/>
    <x v="0"/>
    <x v="60"/>
    <n v="1"/>
    <m/>
  </r>
  <r>
    <n v="495"/>
    <n v="2"/>
    <n v="7"/>
    <x v="1"/>
    <x v="4"/>
    <x v="7"/>
    <x v="0"/>
    <x v="1"/>
    <x v="61"/>
    <n v="1"/>
    <m/>
  </r>
  <r>
    <n v="496"/>
    <n v="2"/>
    <n v="7"/>
    <x v="1"/>
    <x v="5"/>
    <x v="8"/>
    <x v="0"/>
    <x v="0"/>
    <x v="62"/>
    <n v="1"/>
    <m/>
  </r>
  <r>
    <n v="497"/>
    <n v="2"/>
    <n v="7"/>
    <x v="2"/>
    <x v="6"/>
    <x v="6"/>
    <x v="0"/>
    <x v="0"/>
    <x v="60"/>
    <n v="1"/>
    <m/>
  </r>
  <r>
    <n v="498"/>
    <n v="2"/>
    <n v="7"/>
    <x v="2"/>
    <x v="7"/>
    <x v="7"/>
    <x v="0"/>
    <x v="1"/>
    <x v="61"/>
    <n v="1"/>
    <m/>
  </r>
  <r>
    <n v="499"/>
    <n v="2"/>
    <n v="7"/>
    <x v="2"/>
    <x v="8"/>
    <x v="8"/>
    <x v="0"/>
    <x v="0"/>
    <x v="62"/>
    <n v="1"/>
    <m/>
  </r>
  <r>
    <n v="500"/>
    <n v="2"/>
    <n v="7"/>
    <x v="3"/>
    <x v="9"/>
    <x v="6"/>
    <x v="0"/>
    <x v="0"/>
    <x v="60"/>
    <n v="1"/>
    <m/>
  </r>
  <r>
    <n v="501"/>
    <n v="2"/>
    <n v="7"/>
    <x v="3"/>
    <x v="10"/>
    <x v="7"/>
    <x v="0"/>
    <x v="1"/>
    <x v="61"/>
    <n v="1"/>
    <m/>
  </r>
  <r>
    <n v="502"/>
    <n v="2"/>
    <n v="7"/>
    <x v="3"/>
    <x v="11"/>
    <x v="8"/>
    <x v="0"/>
    <x v="0"/>
    <x v="62"/>
    <n v="1"/>
    <m/>
  </r>
  <r>
    <n v="503"/>
    <n v="2"/>
    <n v="7"/>
    <x v="4"/>
    <x v="12"/>
    <x v="6"/>
    <x v="0"/>
    <x v="0"/>
    <x v="60"/>
    <n v="1"/>
    <m/>
  </r>
  <r>
    <n v="504"/>
    <n v="2"/>
    <n v="7"/>
    <x v="4"/>
    <x v="13"/>
    <x v="7"/>
    <x v="0"/>
    <x v="1"/>
    <x v="61"/>
    <n v="1"/>
    <m/>
  </r>
  <r>
    <n v="505"/>
    <n v="2"/>
    <n v="7"/>
    <x v="4"/>
    <x v="14"/>
    <x v="8"/>
    <x v="0"/>
    <x v="0"/>
    <x v="62"/>
    <n v="1"/>
    <m/>
  </r>
  <r>
    <n v="506"/>
    <n v="2"/>
    <n v="8"/>
    <x v="0"/>
    <x v="0"/>
    <x v="9"/>
    <x v="0"/>
    <x v="0"/>
    <x v="52"/>
    <n v="1"/>
    <m/>
  </r>
  <r>
    <n v="507"/>
    <n v="2"/>
    <n v="8"/>
    <x v="0"/>
    <x v="1"/>
    <x v="10"/>
    <x v="0"/>
    <x v="2"/>
    <x v="53"/>
    <n v="1"/>
    <m/>
  </r>
  <r>
    <n v="508"/>
    <n v="2"/>
    <n v="8"/>
    <x v="0"/>
    <x v="2"/>
    <x v="11"/>
    <x v="1"/>
    <x v="3"/>
    <x v="54"/>
    <n v="1"/>
    <m/>
  </r>
  <r>
    <n v="509"/>
    <n v="2"/>
    <n v="8"/>
    <x v="1"/>
    <x v="3"/>
    <x v="9"/>
    <x v="0"/>
    <x v="0"/>
    <x v="52"/>
    <n v="1"/>
    <m/>
  </r>
  <r>
    <n v="510"/>
    <n v="2"/>
    <n v="8"/>
    <x v="1"/>
    <x v="4"/>
    <x v="10"/>
    <x v="0"/>
    <x v="2"/>
    <x v="53"/>
    <n v="1"/>
    <m/>
  </r>
  <r>
    <n v="511"/>
    <n v="2"/>
    <n v="8"/>
    <x v="1"/>
    <x v="5"/>
    <x v="11"/>
    <x v="1"/>
    <x v="3"/>
    <x v="54"/>
    <n v="1"/>
    <m/>
  </r>
  <r>
    <n v="512"/>
    <n v="2"/>
    <n v="8"/>
    <x v="2"/>
    <x v="6"/>
    <x v="9"/>
    <x v="0"/>
    <x v="0"/>
    <x v="52"/>
    <n v="1"/>
    <m/>
  </r>
  <r>
    <n v="513"/>
    <n v="2"/>
    <n v="8"/>
    <x v="2"/>
    <x v="7"/>
    <x v="10"/>
    <x v="0"/>
    <x v="2"/>
    <x v="53"/>
    <n v="1"/>
    <m/>
  </r>
  <r>
    <n v="514"/>
    <n v="2"/>
    <n v="8"/>
    <x v="2"/>
    <x v="8"/>
    <x v="11"/>
    <x v="1"/>
    <x v="3"/>
    <x v="54"/>
    <n v="1"/>
    <m/>
  </r>
  <r>
    <n v="515"/>
    <n v="2"/>
    <n v="8"/>
    <x v="3"/>
    <x v="9"/>
    <x v="9"/>
    <x v="0"/>
    <x v="0"/>
    <x v="52"/>
    <n v="1"/>
    <m/>
  </r>
  <r>
    <n v="516"/>
    <n v="2"/>
    <n v="8"/>
    <x v="3"/>
    <x v="10"/>
    <x v="10"/>
    <x v="0"/>
    <x v="2"/>
    <x v="53"/>
    <n v="1"/>
    <m/>
  </r>
  <r>
    <n v="517"/>
    <n v="2"/>
    <n v="8"/>
    <x v="3"/>
    <x v="11"/>
    <x v="11"/>
    <x v="1"/>
    <x v="3"/>
    <x v="54"/>
    <n v="1"/>
    <m/>
  </r>
  <r>
    <n v="518"/>
    <n v="2"/>
    <n v="8"/>
    <x v="4"/>
    <x v="12"/>
    <x v="9"/>
    <x v="0"/>
    <x v="0"/>
    <x v="52"/>
    <n v="1"/>
    <m/>
  </r>
  <r>
    <n v="519"/>
    <n v="2"/>
    <n v="8"/>
    <x v="4"/>
    <x v="13"/>
    <x v="10"/>
    <x v="0"/>
    <x v="2"/>
    <x v="53"/>
    <n v="1"/>
    <m/>
  </r>
  <r>
    <n v="520"/>
    <n v="2"/>
    <n v="8"/>
    <x v="4"/>
    <x v="14"/>
    <x v="11"/>
    <x v="1"/>
    <x v="3"/>
    <x v="54"/>
    <n v="1"/>
    <m/>
  </r>
  <r>
    <n v="521"/>
    <n v="2"/>
    <n v="9"/>
    <x v="5"/>
    <x v="15"/>
    <x v="15"/>
    <x v="0"/>
    <x v="3"/>
    <x v="48"/>
    <n v="1"/>
    <m/>
  </r>
  <r>
    <n v="522"/>
    <n v="2"/>
    <n v="9"/>
    <x v="5"/>
    <x v="16"/>
    <x v="7"/>
    <x v="0"/>
    <x v="4"/>
    <x v="49"/>
    <n v="1"/>
    <m/>
  </r>
  <r>
    <n v="523"/>
    <n v="2"/>
    <n v="9"/>
    <x v="5"/>
    <x v="17"/>
    <x v="38"/>
    <x v="2"/>
    <x v="1"/>
    <x v="63"/>
    <n v="1"/>
    <m/>
  </r>
  <r>
    <n v="524"/>
    <n v="2"/>
    <n v="9"/>
    <x v="0"/>
    <x v="0"/>
    <x v="15"/>
    <x v="0"/>
    <x v="3"/>
    <x v="48"/>
    <n v="1"/>
    <m/>
  </r>
  <r>
    <n v="525"/>
    <n v="2"/>
    <n v="9"/>
    <x v="0"/>
    <x v="1"/>
    <x v="7"/>
    <x v="0"/>
    <x v="4"/>
    <x v="49"/>
    <n v="1"/>
    <m/>
  </r>
  <r>
    <n v="526"/>
    <n v="2"/>
    <n v="9"/>
    <x v="0"/>
    <x v="2"/>
    <x v="16"/>
    <x v="0"/>
    <x v="1"/>
    <x v="51"/>
    <n v="1"/>
    <m/>
  </r>
  <r>
    <n v="527"/>
    <n v="2"/>
    <n v="9"/>
    <x v="1"/>
    <x v="3"/>
    <x v="15"/>
    <x v="0"/>
    <x v="3"/>
    <x v="48"/>
    <n v="1"/>
    <m/>
  </r>
  <r>
    <n v="528"/>
    <n v="2"/>
    <n v="9"/>
    <x v="1"/>
    <x v="4"/>
    <x v="7"/>
    <x v="0"/>
    <x v="4"/>
    <x v="49"/>
    <n v="1"/>
    <m/>
  </r>
  <r>
    <n v="529"/>
    <n v="2"/>
    <n v="9"/>
    <x v="1"/>
    <x v="5"/>
    <x v="16"/>
    <x v="0"/>
    <x v="1"/>
    <x v="51"/>
    <n v="1"/>
    <m/>
  </r>
  <r>
    <n v="530"/>
    <n v="2"/>
    <n v="9"/>
    <x v="2"/>
    <x v="6"/>
    <x v="15"/>
    <x v="0"/>
    <x v="3"/>
    <x v="48"/>
    <n v="1"/>
    <m/>
  </r>
  <r>
    <n v="531"/>
    <n v="2"/>
    <n v="9"/>
    <x v="2"/>
    <x v="7"/>
    <x v="7"/>
    <x v="0"/>
    <x v="4"/>
    <x v="49"/>
    <n v="1"/>
    <m/>
  </r>
  <r>
    <n v="532"/>
    <n v="2"/>
    <n v="9"/>
    <x v="2"/>
    <x v="8"/>
    <x v="16"/>
    <x v="0"/>
    <x v="1"/>
    <x v="51"/>
    <n v="1"/>
    <m/>
  </r>
  <r>
    <n v="533"/>
    <n v="2"/>
    <n v="9"/>
    <x v="3"/>
    <x v="9"/>
    <x v="15"/>
    <x v="0"/>
    <x v="3"/>
    <x v="48"/>
    <n v="1"/>
    <m/>
  </r>
  <r>
    <n v="534"/>
    <n v="2"/>
    <n v="9"/>
    <x v="3"/>
    <x v="10"/>
    <x v="7"/>
    <x v="0"/>
    <x v="4"/>
    <x v="49"/>
    <n v="1"/>
    <m/>
  </r>
  <r>
    <n v="535"/>
    <n v="2"/>
    <n v="9"/>
    <x v="3"/>
    <x v="11"/>
    <x v="16"/>
    <x v="0"/>
    <x v="1"/>
    <x v="51"/>
    <n v="1"/>
    <m/>
  </r>
  <r>
    <n v="536"/>
    <n v="2"/>
    <n v="9"/>
    <x v="4"/>
    <x v="12"/>
    <x v="15"/>
    <x v="0"/>
    <x v="3"/>
    <x v="48"/>
    <n v="1"/>
    <m/>
  </r>
  <r>
    <n v="537"/>
    <n v="2"/>
    <n v="9"/>
    <x v="4"/>
    <x v="13"/>
    <x v="7"/>
    <x v="0"/>
    <x v="4"/>
    <x v="49"/>
    <n v="1"/>
    <m/>
  </r>
  <r>
    <n v="538"/>
    <n v="2"/>
    <n v="9"/>
    <x v="4"/>
    <x v="14"/>
    <x v="16"/>
    <x v="0"/>
    <x v="1"/>
    <x v="51"/>
    <n v="1"/>
    <m/>
  </r>
  <r>
    <n v="539"/>
    <n v="1"/>
    <n v="1"/>
    <x v="0"/>
    <x v="0"/>
    <x v="39"/>
    <x v="0"/>
    <x v="0"/>
    <x v="64"/>
    <n v="1"/>
    <m/>
  </r>
  <r>
    <n v="540"/>
    <n v="1"/>
    <n v="1"/>
    <x v="0"/>
    <x v="1"/>
    <x v="40"/>
    <x v="2"/>
    <x v="6"/>
    <x v="65"/>
    <n v="1"/>
    <m/>
  </r>
  <r>
    <n v="541"/>
    <n v="1"/>
    <n v="1"/>
    <x v="0"/>
    <x v="2"/>
    <x v="41"/>
    <x v="2"/>
    <x v="5"/>
    <x v="66"/>
    <n v="1"/>
    <m/>
  </r>
  <r>
    <n v="542"/>
    <n v="1"/>
    <n v="1"/>
    <x v="0"/>
    <x v="18"/>
    <x v="42"/>
    <x v="1"/>
    <x v="1"/>
    <x v="67"/>
    <n v="1"/>
    <m/>
  </r>
  <r>
    <n v="543"/>
    <n v="1"/>
    <n v="1"/>
    <x v="1"/>
    <x v="3"/>
    <x v="39"/>
    <x v="0"/>
    <x v="0"/>
    <x v="64"/>
    <n v="1"/>
    <m/>
  </r>
  <r>
    <n v="544"/>
    <n v="1"/>
    <n v="1"/>
    <x v="1"/>
    <x v="4"/>
    <x v="40"/>
    <x v="2"/>
    <x v="6"/>
    <x v="65"/>
    <n v="1"/>
    <m/>
  </r>
  <r>
    <n v="545"/>
    <n v="1"/>
    <n v="1"/>
    <x v="1"/>
    <x v="5"/>
    <x v="41"/>
    <x v="2"/>
    <x v="5"/>
    <x v="66"/>
    <n v="1"/>
    <m/>
  </r>
  <r>
    <n v="546"/>
    <n v="1"/>
    <n v="1"/>
    <x v="1"/>
    <x v="19"/>
    <x v="42"/>
    <x v="1"/>
    <x v="1"/>
    <x v="67"/>
    <n v="1"/>
    <m/>
  </r>
  <r>
    <n v="547"/>
    <n v="1"/>
    <n v="1"/>
    <x v="2"/>
    <x v="6"/>
    <x v="39"/>
    <x v="0"/>
    <x v="0"/>
    <x v="64"/>
    <n v="1"/>
    <m/>
  </r>
  <r>
    <n v="548"/>
    <n v="1"/>
    <n v="1"/>
    <x v="2"/>
    <x v="7"/>
    <x v="40"/>
    <x v="2"/>
    <x v="6"/>
    <x v="65"/>
    <n v="1"/>
    <m/>
  </r>
  <r>
    <n v="549"/>
    <n v="1"/>
    <n v="1"/>
    <x v="2"/>
    <x v="8"/>
    <x v="41"/>
    <x v="2"/>
    <x v="5"/>
    <x v="66"/>
    <n v="1"/>
    <m/>
  </r>
  <r>
    <n v="550"/>
    <n v="1"/>
    <n v="1"/>
    <x v="2"/>
    <x v="20"/>
    <x v="42"/>
    <x v="1"/>
    <x v="1"/>
    <x v="67"/>
    <n v="1"/>
    <m/>
  </r>
  <r>
    <n v="551"/>
    <n v="1"/>
    <n v="1"/>
    <x v="3"/>
    <x v="9"/>
    <x v="39"/>
    <x v="0"/>
    <x v="0"/>
    <x v="64"/>
    <n v="1"/>
    <m/>
  </r>
  <r>
    <n v="552"/>
    <n v="1"/>
    <n v="1"/>
    <x v="3"/>
    <x v="10"/>
    <x v="40"/>
    <x v="2"/>
    <x v="6"/>
    <x v="65"/>
    <n v="1"/>
    <m/>
  </r>
  <r>
    <n v="553"/>
    <n v="1"/>
    <n v="1"/>
    <x v="3"/>
    <x v="11"/>
    <x v="41"/>
    <x v="2"/>
    <x v="5"/>
    <x v="66"/>
    <n v="1"/>
    <m/>
  </r>
  <r>
    <n v="554"/>
    <n v="1"/>
    <n v="1"/>
    <x v="3"/>
    <x v="21"/>
    <x v="42"/>
    <x v="1"/>
    <x v="1"/>
    <x v="67"/>
    <n v="1"/>
    <m/>
  </r>
  <r>
    <n v="555"/>
    <n v="1"/>
    <n v="1"/>
    <x v="4"/>
    <x v="12"/>
    <x v="39"/>
    <x v="0"/>
    <x v="0"/>
    <x v="64"/>
    <n v="1"/>
    <m/>
  </r>
  <r>
    <n v="556"/>
    <n v="1"/>
    <n v="1"/>
    <x v="4"/>
    <x v="13"/>
    <x v="40"/>
    <x v="2"/>
    <x v="6"/>
    <x v="65"/>
    <n v="1"/>
    <m/>
  </r>
  <r>
    <n v="557"/>
    <n v="1"/>
    <n v="1"/>
    <x v="4"/>
    <x v="14"/>
    <x v="41"/>
    <x v="2"/>
    <x v="5"/>
    <x v="66"/>
    <n v="1"/>
    <m/>
  </r>
  <r>
    <n v="558"/>
    <n v="1"/>
    <n v="1"/>
    <x v="4"/>
    <x v="22"/>
    <x v="42"/>
    <x v="1"/>
    <x v="1"/>
    <x v="67"/>
    <n v="1"/>
    <m/>
  </r>
  <r>
    <n v="559"/>
    <n v="1"/>
    <n v="2"/>
    <x v="0"/>
    <x v="0"/>
    <x v="6"/>
    <x v="0"/>
    <x v="0"/>
    <x v="68"/>
    <n v="1"/>
    <m/>
  </r>
  <r>
    <n v="560"/>
    <n v="1"/>
    <n v="2"/>
    <x v="0"/>
    <x v="1"/>
    <x v="7"/>
    <x v="0"/>
    <x v="1"/>
    <x v="69"/>
    <n v="1"/>
    <m/>
  </r>
  <r>
    <n v="561"/>
    <n v="1"/>
    <n v="2"/>
    <x v="0"/>
    <x v="2"/>
    <x v="15"/>
    <x v="0"/>
    <x v="0"/>
    <x v="70"/>
    <n v="1"/>
    <m/>
  </r>
  <r>
    <n v="562"/>
    <n v="1"/>
    <n v="2"/>
    <x v="1"/>
    <x v="3"/>
    <x v="6"/>
    <x v="0"/>
    <x v="0"/>
    <x v="68"/>
    <n v="1"/>
    <m/>
  </r>
  <r>
    <n v="563"/>
    <n v="1"/>
    <n v="2"/>
    <x v="1"/>
    <x v="4"/>
    <x v="7"/>
    <x v="0"/>
    <x v="1"/>
    <x v="69"/>
    <n v="1"/>
    <m/>
  </r>
  <r>
    <n v="564"/>
    <n v="1"/>
    <n v="2"/>
    <x v="1"/>
    <x v="5"/>
    <x v="15"/>
    <x v="0"/>
    <x v="0"/>
    <x v="70"/>
    <n v="1"/>
    <m/>
  </r>
  <r>
    <n v="565"/>
    <n v="1"/>
    <n v="2"/>
    <x v="2"/>
    <x v="6"/>
    <x v="6"/>
    <x v="0"/>
    <x v="0"/>
    <x v="68"/>
    <n v="1"/>
    <m/>
  </r>
  <r>
    <n v="566"/>
    <n v="1"/>
    <n v="2"/>
    <x v="2"/>
    <x v="7"/>
    <x v="7"/>
    <x v="0"/>
    <x v="1"/>
    <x v="69"/>
    <n v="1"/>
    <m/>
  </r>
  <r>
    <n v="567"/>
    <n v="1"/>
    <n v="2"/>
    <x v="2"/>
    <x v="8"/>
    <x v="15"/>
    <x v="0"/>
    <x v="0"/>
    <x v="70"/>
    <n v="1"/>
    <m/>
  </r>
  <r>
    <n v="568"/>
    <n v="1"/>
    <n v="2"/>
    <x v="3"/>
    <x v="9"/>
    <x v="6"/>
    <x v="0"/>
    <x v="0"/>
    <x v="68"/>
    <n v="1"/>
    <m/>
  </r>
  <r>
    <n v="569"/>
    <n v="1"/>
    <n v="2"/>
    <x v="3"/>
    <x v="10"/>
    <x v="7"/>
    <x v="0"/>
    <x v="1"/>
    <x v="69"/>
    <n v="1"/>
    <m/>
  </r>
  <r>
    <n v="570"/>
    <n v="1"/>
    <n v="2"/>
    <x v="3"/>
    <x v="11"/>
    <x v="15"/>
    <x v="0"/>
    <x v="0"/>
    <x v="70"/>
    <n v="1"/>
    <m/>
  </r>
  <r>
    <n v="571"/>
    <n v="1"/>
    <n v="2"/>
    <x v="4"/>
    <x v="12"/>
    <x v="6"/>
    <x v="0"/>
    <x v="0"/>
    <x v="68"/>
    <n v="1"/>
    <m/>
  </r>
  <r>
    <n v="572"/>
    <n v="1"/>
    <n v="2"/>
    <x v="4"/>
    <x v="13"/>
    <x v="7"/>
    <x v="0"/>
    <x v="1"/>
    <x v="69"/>
    <n v="1"/>
    <m/>
  </r>
  <r>
    <n v="573"/>
    <n v="1"/>
    <n v="2"/>
    <x v="4"/>
    <x v="14"/>
    <x v="15"/>
    <x v="0"/>
    <x v="0"/>
    <x v="70"/>
    <n v="1"/>
    <m/>
  </r>
  <r>
    <n v="574"/>
    <n v="1"/>
    <n v="3"/>
    <x v="0"/>
    <x v="0"/>
    <x v="14"/>
    <x v="0"/>
    <x v="0"/>
    <x v="70"/>
    <n v="1"/>
    <m/>
  </r>
  <r>
    <n v="575"/>
    <n v="1"/>
    <n v="3"/>
    <x v="0"/>
    <x v="1"/>
    <x v="13"/>
    <x v="0"/>
    <x v="1"/>
    <x v="69"/>
    <n v="1"/>
    <m/>
  </r>
  <r>
    <n v="576"/>
    <n v="1"/>
    <n v="3"/>
    <x v="0"/>
    <x v="2"/>
    <x v="25"/>
    <x v="0"/>
    <x v="0"/>
    <x v="71"/>
    <n v="1"/>
    <m/>
  </r>
  <r>
    <n v="577"/>
    <n v="1"/>
    <n v="3"/>
    <x v="1"/>
    <x v="3"/>
    <x v="14"/>
    <x v="0"/>
    <x v="0"/>
    <x v="70"/>
    <n v="1"/>
    <m/>
  </r>
  <r>
    <n v="578"/>
    <n v="1"/>
    <n v="3"/>
    <x v="1"/>
    <x v="4"/>
    <x v="13"/>
    <x v="0"/>
    <x v="1"/>
    <x v="69"/>
    <n v="1"/>
    <m/>
  </r>
  <r>
    <n v="579"/>
    <n v="1"/>
    <n v="3"/>
    <x v="1"/>
    <x v="5"/>
    <x v="25"/>
    <x v="0"/>
    <x v="0"/>
    <x v="71"/>
    <n v="1"/>
    <m/>
  </r>
  <r>
    <n v="580"/>
    <n v="1"/>
    <n v="3"/>
    <x v="2"/>
    <x v="6"/>
    <x v="14"/>
    <x v="0"/>
    <x v="0"/>
    <x v="70"/>
    <n v="1"/>
    <m/>
  </r>
  <r>
    <n v="581"/>
    <n v="1"/>
    <n v="3"/>
    <x v="2"/>
    <x v="7"/>
    <x v="13"/>
    <x v="0"/>
    <x v="1"/>
    <x v="69"/>
    <n v="1"/>
    <m/>
  </r>
  <r>
    <n v="582"/>
    <n v="1"/>
    <n v="3"/>
    <x v="2"/>
    <x v="8"/>
    <x v="25"/>
    <x v="0"/>
    <x v="0"/>
    <x v="71"/>
    <n v="1"/>
    <m/>
  </r>
  <r>
    <n v="583"/>
    <n v="1"/>
    <n v="3"/>
    <x v="3"/>
    <x v="9"/>
    <x v="14"/>
    <x v="0"/>
    <x v="0"/>
    <x v="70"/>
    <n v="1"/>
    <m/>
  </r>
  <r>
    <n v="584"/>
    <n v="1"/>
    <n v="3"/>
    <x v="3"/>
    <x v="10"/>
    <x v="13"/>
    <x v="0"/>
    <x v="1"/>
    <x v="69"/>
    <n v="1"/>
    <m/>
  </r>
  <r>
    <n v="585"/>
    <n v="1"/>
    <n v="3"/>
    <x v="3"/>
    <x v="11"/>
    <x v="25"/>
    <x v="0"/>
    <x v="0"/>
    <x v="71"/>
    <n v="1"/>
    <m/>
  </r>
  <r>
    <n v="586"/>
    <n v="1"/>
    <n v="3"/>
    <x v="4"/>
    <x v="12"/>
    <x v="14"/>
    <x v="0"/>
    <x v="0"/>
    <x v="70"/>
    <n v="1"/>
    <m/>
  </r>
  <r>
    <n v="587"/>
    <n v="1"/>
    <n v="3"/>
    <x v="4"/>
    <x v="13"/>
    <x v="13"/>
    <x v="0"/>
    <x v="1"/>
    <x v="69"/>
    <n v="1"/>
    <m/>
  </r>
  <r>
    <n v="588"/>
    <n v="1"/>
    <n v="3"/>
    <x v="4"/>
    <x v="14"/>
    <x v="25"/>
    <x v="0"/>
    <x v="0"/>
    <x v="71"/>
    <n v="1"/>
    <m/>
  </r>
  <r>
    <n v="589"/>
    <n v="1"/>
    <n v="4"/>
    <x v="0"/>
    <x v="0"/>
    <x v="43"/>
    <x v="0"/>
    <x v="0"/>
    <x v="72"/>
    <n v="1"/>
    <m/>
  </r>
  <r>
    <n v="590"/>
    <n v="1"/>
    <n v="4"/>
    <x v="0"/>
    <x v="1"/>
    <x v="44"/>
    <x v="2"/>
    <x v="1"/>
    <x v="73"/>
    <n v="1"/>
    <m/>
  </r>
  <r>
    <n v="591"/>
    <n v="1"/>
    <n v="4"/>
    <x v="0"/>
    <x v="2"/>
    <x v="45"/>
    <x v="2"/>
    <x v="4"/>
    <x v="74"/>
    <n v="1"/>
    <m/>
  </r>
  <r>
    <n v="592"/>
    <n v="1"/>
    <n v="4"/>
    <x v="1"/>
    <x v="3"/>
    <x v="43"/>
    <x v="0"/>
    <x v="0"/>
    <x v="72"/>
    <n v="1"/>
    <m/>
  </r>
  <r>
    <n v="593"/>
    <n v="1"/>
    <n v="4"/>
    <x v="1"/>
    <x v="4"/>
    <x v="44"/>
    <x v="2"/>
    <x v="1"/>
    <x v="73"/>
    <n v="1"/>
    <m/>
  </r>
  <r>
    <n v="594"/>
    <n v="1"/>
    <n v="4"/>
    <x v="1"/>
    <x v="5"/>
    <x v="45"/>
    <x v="2"/>
    <x v="4"/>
    <x v="74"/>
    <n v="1"/>
    <m/>
  </r>
  <r>
    <n v="595"/>
    <n v="1"/>
    <n v="4"/>
    <x v="2"/>
    <x v="6"/>
    <x v="43"/>
    <x v="0"/>
    <x v="0"/>
    <x v="72"/>
    <n v="1"/>
    <m/>
  </r>
  <r>
    <n v="596"/>
    <n v="1"/>
    <n v="4"/>
    <x v="2"/>
    <x v="7"/>
    <x v="44"/>
    <x v="2"/>
    <x v="1"/>
    <x v="73"/>
    <n v="1"/>
    <m/>
  </r>
  <r>
    <n v="597"/>
    <n v="1"/>
    <n v="4"/>
    <x v="2"/>
    <x v="8"/>
    <x v="45"/>
    <x v="2"/>
    <x v="4"/>
    <x v="74"/>
    <n v="1"/>
    <m/>
  </r>
  <r>
    <n v="598"/>
    <n v="1"/>
    <n v="4"/>
    <x v="3"/>
    <x v="9"/>
    <x v="43"/>
    <x v="0"/>
    <x v="0"/>
    <x v="72"/>
    <n v="1"/>
    <m/>
  </r>
  <r>
    <n v="599"/>
    <n v="1"/>
    <n v="4"/>
    <x v="3"/>
    <x v="10"/>
    <x v="44"/>
    <x v="2"/>
    <x v="1"/>
    <x v="73"/>
    <n v="1"/>
    <m/>
  </r>
  <r>
    <n v="600"/>
    <n v="1"/>
    <n v="4"/>
    <x v="3"/>
    <x v="11"/>
    <x v="45"/>
    <x v="2"/>
    <x v="4"/>
    <x v="74"/>
    <n v="1"/>
    <m/>
  </r>
  <r>
    <n v="601"/>
    <n v="1"/>
    <n v="4"/>
    <x v="4"/>
    <x v="12"/>
    <x v="43"/>
    <x v="0"/>
    <x v="0"/>
    <x v="72"/>
    <n v="1"/>
    <m/>
  </r>
  <r>
    <n v="602"/>
    <n v="1"/>
    <n v="4"/>
    <x v="4"/>
    <x v="13"/>
    <x v="44"/>
    <x v="2"/>
    <x v="1"/>
    <x v="73"/>
    <n v="1"/>
    <m/>
  </r>
  <r>
    <n v="603"/>
    <n v="1"/>
    <n v="4"/>
    <x v="4"/>
    <x v="14"/>
    <x v="45"/>
    <x v="2"/>
    <x v="4"/>
    <x v="74"/>
    <n v="1"/>
    <m/>
  </r>
  <r>
    <n v="604"/>
    <n v="1"/>
    <n v="5"/>
    <x v="0"/>
    <x v="0"/>
    <x v="39"/>
    <x v="0"/>
    <x v="0"/>
    <x v="64"/>
    <n v="1"/>
    <m/>
  </r>
  <r>
    <n v="605"/>
    <n v="1"/>
    <n v="5"/>
    <x v="0"/>
    <x v="1"/>
    <x v="40"/>
    <x v="2"/>
    <x v="6"/>
    <x v="65"/>
    <n v="1"/>
    <m/>
  </r>
  <r>
    <n v="606"/>
    <n v="1"/>
    <n v="5"/>
    <x v="0"/>
    <x v="2"/>
    <x v="46"/>
    <x v="2"/>
    <x v="5"/>
    <x v="75"/>
    <n v="1"/>
    <m/>
  </r>
  <r>
    <n v="607"/>
    <n v="1"/>
    <n v="5"/>
    <x v="0"/>
    <x v="18"/>
    <x v="47"/>
    <x v="0"/>
    <x v="3"/>
    <x v="76"/>
    <n v="1"/>
    <m/>
  </r>
  <r>
    <n v="608"/>
    <n v="1"/>
    <n v="5"/>
    <x v="1"/>
    <x v="3"/>
    <x v="39"/>
    <x v="0"/>
    <x v="0"/>
    <x v="64"/>
    <n v="1"/>
    <m/>
  </r>
  <r>
    <n v="609"/>
    <n v="1"/>
    <n v="5"/>
    <x v="1"/>
    <x v="4"/>
    <x v="40"/>
    <x v="2"/>
    <x v="6"/>
    <x v="65"/>
    <n v="1"/>
    <m/>
  </r>
  <r>
    <n v="610"/>
    <n v="1"/>
    <n v="5"/>
    <x v="1"/>
    <x v="5"/>
    <x v="46"/>
    <x v="2"/>
    <x v="5"/>
    <x v="75"/>
    <n v="1"/>
    <m/>
  </r>
  <r>
    <n v="611"/>
    <n v="1"/>
    <n v="5"/>
    <x v="1"/>
    <x v="19"/>
    <x v="47"/>
    <x v="0"/>
    <x v="3"/>
    <x v="76"/>
    <n v="1"/>
    <m/>
  </r>
  <r>
    <n v="612"/>
    <n v="1"/>
    <n v="5"/>
    <x v="2"/>
    <x v="6"/>
    <x v="39"/>
    <x v="0"/>
    <x v="0"/>
    <x v="64"/>
    <n v="1"/>
    <m/>
  </r>
  <r>
    <n v="613"/>
    <n v="1"/>
    <n v="5"/>
    <x v="2"/>
    <x v="7"/>
    <x v="40"/>
    <x v="2"/>
    <x v="6"/>
    <x v="65"/>
    <n v="1"/>
    <m/>
  </r>
  <r>
    <n v="614"/>
    <n v="1"/>
    <n v="5"/>
    <x v="2"/>
    <x v="8"/>
    <x v="46"/>
    <x v="2"/>
    <x v="5"/>
    <x v="75"/>
    <n v="1"/>
    <m/>
  </r>
  <r>
    <n v="615"/>
    <n v="1"/>
    <n v="5"/>
    <x v="2"/>
    <x v="20"/>
    <x v="47"/>
    <x v="0"/>
    <x v="3"/>
    <x v="76"/>
    <n v="1"/>
    <m/>
  </r>
  <r>
    <n v="616"/>
    <n v="1"/>
    <n v="5"/>
    <x v="3"/>
    <x v="9"/>
    <x v="39"/>
    <x v="0"/>
    <x v="0"/>
    <x v="64"/>
    <n v="1"/>
    <m/>
  </r>
  <r>
    <n v="617"/>
    <n v="1"/>
    <n v="5"/>
    <x v="3"/>
    <x v="10"/>
    <x v="40"/>
    <x v="2"/>
    <x v="6"/>
    <x v="65"/>
    <n v="1"/>
    <m/>
  </r>
  <r>
    <n v="618"/>
    <n v="1"/>
    <n v="5"/>
    <x v="3"/>
    <x v="11"/>
    <x v="46"/>
    <x v="2"/>
    <x v="5"/>
    <x v="75"/>
    <n v="1"/>
    <m/>
  </r>
  <r>
    <n v="619"/>
    <n v="1"/>
    <n v="5"/>
    <x v="3"/>
    <x v="21"/>
    <x v="47"/>
    <x v="0"/>
    <x v="3"/>
    <x v="76"/>
    <n v="1"/>
    <m/>
  </r>
  <r>
    <n v="620"/>
    <n v="1"/>
    <n v="5"/>
    <x v="4"/>
    <x v="12"/>
    <x v="39"/>
    <x v="0"/>
    <x v="0"/>
    <x v="64"/>
    <n v="1"/>
    <m/>
  </r>
  <r>
    <n v="621"/>
    <n v="1"/>
    <n v="5"/>
    <x v="4"/>
    <x v="13"/>
    <x v="40"/>
    <x v="2"/>
    <x v="6"/>
    <x v="65"/>
    <n v="1"/>
    <m/>
  </r>
  <r>
    <n v="622"/>
    <n v="1"/>
    <n v="5"/>
    <x v="4"/>
    <x v="14"/>
    <x v="46"/>
    <x v="2"/>
    <x v="5"/>
    <x v="75"/>
    <n v="1"/>
    <m/>
  </r>
  <r>
    <n v="623"/>
    <n v="1"/>
    <n v="5"/>
    <x v="4"/>
    <x v="22"/>
    <x v="47"/>
    <x v="0"/>
    <x v="3"/>
    <x v="76"/>
    <n v="1"/>
    <m/>
  </r>
  <r>
    <n v="624"/>
    <n v="1"/>
    <n v="6"/>
    <x v="0"/>
    <x v="0"/>
    <x v="14"/>
    <x v="0"/>
    <x v="0"/>
    <x v="77"/>
    <n v="1"/>
    <m/>
  </r>
  <r>
    <n v="625"/>
    <n v="1"/>
    <n v="6"/>
    <x v="0"/>
    <x v="1"/>
    <x v="13"/>
    <x v="0"/>
    <x v="1"/>
    <x v="69"/>
    <n v="1"/>
    <m/>
  </r>
  <r>
    <n v="626"/>
    <n v="1"/>
    <n v="6"/>
    <x v="0"/>
    <x v="2"/>
    <x v="25"/>
    <x v="0"/>
    <x v="0"/>
    <x v="71"/>
    <n v="1"/>
    <m/>
  </r>
  <r>
    <n v="627"/>
    <n v="1"/>
    <n v="6"/>
    <x v="1"/>
    <x v="3"/>
    <x v="14"/>
    <x v="0"/>
    <x v="0"/>
    <x v="77"/>
    <n v="1"/>
    <m/>
  </r>
  <r>
    <n v="628"/>
    <n v="1"/>
    <n v="6"/>
    <x v="1"/>
    <x v="4"/>
    <x v="13"/>
    <x v="0"/>
    <x v="1"/>
    <x v="69"/>
    <n v="1"/>
    <m/>
  </r>
  <r>
    <n v="629"/>
    <n v="1"/>
    <n v="6"/>
    <x v="1"/>
    <x v="5"/>
    <x v="25"/>
    <x v="0"/>
    <x v="0"/>
    <x v="71"/>
    <n v="1"/>
    <m/>
  </r>
  <r>
    <n v="630"/>
    <n v="1"/>
    <n v="6"/>
    <x v="2"/>
    <x v="6"/>
    <x v="14"/>
    <x v="0"/>
    <x v="0"/>
    <x v="77"/>
    <n v="1"/>
    <m/>
  </r>
  <r>
    <n v="631"/>
    <n v="1"/>
    <n v="6"/>
    <x v="2"/>
    <x v="7"/>
    <x v="13"/>
    <x v="0"/>
    <x v="1"/>
    <x v="69"/>
    <n v="1"/>
    <m/>
  </r>
  <r>
    <n v="632"/>
    <n v="1"/>
    <n v="6"/>
    <x v="2"/>
    <x v="8"/>
    <x v="25"/>
    <x v="0"/>
    <x v="0"/>
    <x v="71"/>
    <n v="1"/>
    <m/>
  </r>
  <r>
    <n v="633"/>
    <n v="1"/>
    <n v="6"/>
    <x v="3"/>
    <x v="9"/>
    <x v="14"/>
    <x v="0"/>
    <x v="0"/>
    <x v="77"/>
    <n v="1"/>
    <m/>
  </r>
  <r>
    <n v="634"/>
    <n v="1"/>
    <n v="6"/>
    <x v="3"/>
    <x v="10"/>
    <x v="13"/>
    <x v="0"/>
    <x v="1"/>
    <x v="69"/>
    <n v="1"/>
    <m/>
  </r>
  <r>
    <n v="635"/>
    <n v="1"/>
    <n v="6"/>
    <x v="3"/>
    <x v="11"/>
    <x v="25"/>
    <x v="0"/>
    <x v="0"/>
    <x v="71"/>
    <n v="1"/>
    <m/>
  </r>
  <r>
    <n v="636"/>
    <n v="1"/>
    <n v="6"/>
    <x v="4"/>
    <x v="12"/>
    <x v="14"/>
    <x v="0"/>
    <x v="0"/>
    <x v="77"/>
    <n v="1"/>
    <m/>
  </r>
  <r>
    <n v="637"/>
    <n v="1"/>
    <n v="6"/>
    <x v="4"/>
    <x v="13"/>
    <x v="13"/>
    <x v="0"/>
    <x v="1"/>
    <x v="69"/>
    <n v="1"/>
    <m/>
  </r>
  <r>
    <n v="638"/>
    <n v="1"/>
    <n v="6"/>
    <x v="4"/>
    <x v="14"/>
    <x v="25"/>
    <x v="0"/>
    <x v="0"/>
    <x v="71"/>
    <n v="1"/>
    <m/>
  </r>
  <r>
    <n v="639"/>
    <n v="1"/>
    <n v="7"/>
    <x v="0"/>
    <x v="0"/>
    <x v="6"/>
    <x v="0"/>
    <x v="0"/>
    <x v="71"/>
    <n v="1"/>
    <m/>
  </r>
  <r>
    <n v="640"/>
    <n v="1"/>
    <n v="7"/>
    <x v="0"/>
    <x v="1"/>
    <x v="7"/>
    <x v="0"/>
    <x v="1"/>
    <x v="69"/>
    <n v="1"/>
    <m/>
  </r>
  <r>
    <n v="641"/>
    <n v="1"/>
    <n v="7"/>
    <x v="0"/>
    <x v="2"/>
    <x v="15"/>
    <x v="0"/>
    <x v="0"/>
    <x v="78"/>
    <n v="1"/>
    <m/>
  </r>
  <r>
    <n v="642"/>
    <n v="1"/>
    <n v="7"/>
    <x v="1"/>
    <x v="3"/>
    <x v="6"/>
    <x v="0"/>
    <x v="0"/>
    <x v="71"/>
    <n v="1"/>
    <m/>
  </r>
  <r>
    <n v="643"/>
    <n v="1"/>
    <n v="7"/>
    <x v="1"/>
    <x v="4"/>
    <x v="7"/>
    <x v="0"/>
    <x v="1"/>
    <x v="69"/>
    <n v="1"/>
    <m/>
  </r>
  <r>
    <n v="644"/>
    <n v="1"/>
    <n v="7"/>
    <x v="1"/>
    <x v="5"/>
    <x v="15"/>
    <x v="0"/>
    <x v="0"/>
    <x v="78"/>
    <n v="1"/>
    <m/>
  </r>
  <r>
    <n v="645"/>
    <n v="1"/>
    <n v="7"/>
    <x v="2"/>
    <x v="6"/>
    <x v="6"/>
    <x v="0"/>
    <x v="0"/>
    <x v="71"/>
    <n v="1"/>
    <m/>
  </r>
  <r>
    <n v="646"/>
    <n v="1"/>
    <n v="7"/>
    <x v="2"/>
    <x v="7"/>
    <x v="7"/>
    <x v="0"/>
    <x v="1"/>
    <x v="69"/>
    <n v="1"/>
    <m/>
  </r>
  <r>
    <n v="647"/>
    <n v="1"/>
    <n v="7"/>
    <x v="2"/>
    <x v="8"/>
    <x v="15"/>
    <x v="0"/>
    <x v="0"/>
    <x v="78"/>
    <n v="1"/>
    <m/>
  </r>
  <r>
    <n v="648"/>
    <n v="1"/>
    <n v="7"/>
    <x v="3"/>
    <x v="9"/>
    <x v="6"/>
    <x v="0"/>
    <x v="0"/>
    <x v="71"/>
    <n v="1"/>
    <m/>
  </r>
  <r>
    <n v="649"/>
    <n v="1"/>
    <n v="7"/>
    <x v="3"/>
    <x v="10"/>
    <x v="7"/>
    <x v="0"/>
    <x v="1"/>
    <x v="69"/>
    <n v="1"/>
    <m/>
  </r>
  <r>
    <n v="650"/>
    <n v="1"/>
    <n v="7"/>
    <x v="3"/>
    <x v="11"/>
    <x v="15"/>
    <x v="0"/>
    <x v="0"/>
    <x v="78"/>
    <n v="1"/>
    <m/>
  </r>
  <r>
    <n v="651"/>
    <n v="1"/>
    <n v="7"/>
    <x v="4"/>
    <x v="12"/>
    <x v="6"/>
    <x v="0"/>
    <x v="0"/>
    <x v="71"/>
    <n v="1"/>
    <m/>
  </r>
  <r>
    <n v="652"/>
    <n v="1"/>
    <n v="7"/>
    <x v="4"/>
    <x v="13"/>
    <x v="7"/>
    <x v="0"/>
    <x v="1"/>
    <x v="69"/>
    <n v="1"/>
    <m/>
  </r>
  <r>
    <n v="653"/>
    <n v="1"/>
    <n v="7"/>
    <x v="4"/>
    <x v="14"/>
    <x v="15"/>
    <x v="0"/>
    <x v="0"/>
    <x v="78"/>
    <n v="1"/>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3">
  <r>
    <n v="1"/>
    <n v="4"/>
    <n v="1"/>
    <n v="2"/>
    <n v="201"/>
    <x v="0"/>
    <x v="0"/>
    <x v="0"/>
    <x v="0"/>
    <n v="1"/>
  </r>
  <r>
    <n v="2"/>
    <n v="4"/>
    <n v="1"/>
    <n v="2"/>
    <n v="202"/>
    <x v="1"/>
    <x v="0"/>
    <x v="1"/>
    <x v="1"/>
    <n v="1"/>
  </r>
  <r>
    <n v="3"/>
    <n v="4"/>
    <n v="1"/>
    <n v="2"/>
    <n v="203"/>
    <x v="2"/>
    <x v="0"/>
    <x v="0"/>
    <x v="2"/>
    <n v="1"/>
  </r>
  <r>
    <n v="4"/>
    <n v="4"/>
    <n v="1"/>
    <n v="3"/>
    <n v="301"/>
    <x v="0"/>
    <x v="0"/>
    <x v="0"/>
    <x v="0"/>
    <n v="1"/>
  </r>
  <r>
    <n v="5"/>
    <n v="4"/>
    <n v="1"/>
    <n v="3"/>
    <n v="302"/>
    <x v="1"/>
    <x v="0"/>
    <x v="1"/>
    <x v="1"/>
    <n v="1"/>
  </r>
  <r>
    <n v="6"/>
    <n v="4"/>
    <n v="1"/>
    <n v="3"/>
    <n v="303"/>
    <x v="2"/>
    <x v="0"/>
    <x v="0"/>
    <x v="2"/>
    <n v="1"/>
  </r>
  <r>
    <n v="7"/>
    <n v="4"/>
    <n v="1"/>
    <n v="4"/>
    <n v="401"/>
    <x v="0"/>
    <x v="0"/>
    <x v="0"/>
    <x v="0"/>
    <n v="1"/>
  </r>
  <r>
    <n v="8"/>
    <n v="4"/>
    <n v="1"/>
    <n v="4"/>
    <n v="402"/>
    <x v="1"/>
    <x v="0"/>
    <x v="1"/>
    <x v="1"/>
    <n v="1"/>
  </r>
  <r>
    <n v="9"/>
    <n v="4"/>
    <n v="1"/>
    <n v="4"/>
    <n v="403"/>
    <x v="2"/>
    <x v="0"/>
    <x v="0"/>
    <x v="2"/>
    <n v="1"/>
  </r>
  <r>
    <n v="10"/>
    <n v="4"/>
    <n v="1"/>
    <n v="5"/>
    <n v="501"/>
    <x v="0"/>
    <x v="0"/>
    <x v="0"/>
    <x v="0"/>
    <n v="1"/>
  </r>
  <r>
    <n v="11"/>
    <n v="4"/>
    <n v="1"/>
    <n v="5"/>
    <n v="502"/>
    <x v="1"/>
    <x v="0"/>
    <x v="1"/>
    <x v="1"/>
    <n v="1"/>
  </r>
  <r>
    <n v="12"/>
    <n v="4"/>
    <n v="1"/>
    <n v="5"/>
    <n v="503"/>
    <x v="2"/>
    <x v="0"/>
    <x v="0"/>
    <x v="2"/>
    <n v="1"/>
  </r>
  <r>
    <n v="13"/>
    <n v="4"/>
    <n v="1"/>
    <n v="6"/>
    <n v="601"/>
    <x v="0"/>
    <x v="0"/>
    <x v="0"/>
    <x v="0"/>
    <n v="1"/>
  </r>
  <r>
    <n v="14"/>
    <n v="4"/>
    <n v="1"/>
    <n v="6"/>
    <n v="602"/>
    <x v="1"/>
    <x v="0"/>
    <x v="1"/>
    <x v="1"/>
    <n v="1"/>
  </r>
  <r>
    <n v="15"/>
    <n v="4"/>
    <n v="1"/>
    <n v="6"/>
    <n v="603"/>
    <x v="2"/>
    <x v="0"/>
    <x v="0"/>
    <x v="2"/>
    <n v="1"/>
  </r>
  <r>
    <n v="16"/>
    <n v="4"/>
    <n v="2"/>
    <n v="2"/>
    <n v="201"/>
    <x v="3"/>
    <x v="0"/>
    <x v="0"/>
    <x v="2"/>
    <n v="1"/>
  </r>
  <r>
    <n v="17"/>
    <n v="4"/>
    <n v="2"/>
    <n v="2"/>
    <n v="202"/>
    <x v="4"/>
    <x v="0"/>
    <x v="1"/>
    <x v="1"/>
    <n v="1"/>
  </r>
  <r>
    <n v="18"/>
    <n v="4"/>
    <n v="2"/>
    <n v="2"/>
    <n v="203"/>
    <x v="5"/>
    <x v="0"/>
    <x v="0"/>
    <x v="3"/>
    <n v="1"/>
  </r>
  <r>
    <n v="19"/>
    <n v="4"/>
    <n v="2"/>
    <n v="3"/>
    <n v="301"/>
    <x v="3"/>
    <x v="0"/>
    <x v="0"/>
    <x v="2"/>
    <n v="1"/>
  </r>
  <r>
    <n v="20"/>
    <n v="4"/>
    <n v="2"/>
    <n v="3"/>
    <n v="302"/>
    <x v="4"/>
    <x v="0"/>
    <x v="1"/>
    <x v="1"/>
    <n v="1"/>
  </r>
  <r>
    <n v="21"/>
    <n v="4"/>
    <n v="2"/>
    <n v="3"/>
    <n v="303"/>
    <x v="5"/>
    <x v="0"/>
    <x v="0"/>
    <x v="3"/>
    <n v="1"/>
  </r>
  <r>
    <n v="22"/>
    <n v="4"/>
    <n v="2"/>
    <n v="4"/>
    <n v="401"/>
    <x v="3"/>
    <x v="0"/>
    <x v="0"/>
    <x v="2"/>
    <n v="1"/>
  </r>
  <r>
    <n v="23"/>
    <n v="4"/>
    <n v="2"/>
    <n v="4"/>
    <n v="402"/>
    <x v="4"/>
    <x v="0"/>
    <x v="1"/>
    <x v="1"/>
    <n v="1"/>
  </r>
  <r>
    <n v="24"/>
    <n v="4"/>
    <n v="2"/>
    <n v="4"/>
    <n v="403"/>
    <x v="5"/>
    <x v="0"/>
    <x v="0"/>
    <x v="3"/>
    <n v="1"/>
  </r>
  <r>
    <n v="25"/>
    <n v="4"/>
    <n v="2"/>
    <n v="5"/>
    <n v="501"/>
    <x v="3"/>
    <x v="0"/>
    <x v="0"/>
    <x v="2"/>
    <n v="1"/>
  </r>
  <r>
    <n v="26"/>
    <n v="4"/>
    <n v="2"/>
    <n v="5"/>
    <n v="502"/>
    <x v="4"/>
    <x v="0"/>
    <x v="1"/>
    <x v="1"/>
    <n v="1"/>
  </r>
  <r>
    <n v="27"/>
    <n v="4"/>
    <n v="2"/>
    <n v="5"/>
    <n v="503"/>
    <x v="5"/>
    <x v="0"/>
    <x v="0"/>
    <x v="3"/>
    <n v="1"/>
  </r>
  <r>
    <n v="28"/>
    <n v="4"/>
    <n v="2"/>
    <n v="6"/>
    <n v="601"/>
    <x v="3"/>
    <x v="0"/>
    <x v="0"/>
    <x v="2"/>
    <n v="1"/>
  </r>
  <r>
    <n v="29"/>
    <n v="4"/>
    <n v="2"/>
    <n v="6"/>
    <n v="602"/>
    <x v="4"/>
    <x v="0"/>
    <x v="1"/>
    <x v="1"/>
    <n v="1"/>
  </r>
  <r>
    <n v="30"/>
    <n v="4"/>
    <n v="2"/>
    <n v="6"/>
    <n v="603"/>
    <x v="5"/>
    <x v="0"/>
    <x v="0"/>
    <x v="3"/>
    <n v="1"/>
  </r>
  <r>
    <n v="31"/>
    <n v="4"/>
    <n v="3"/>
    <n v="2"/>
    <n v="201"/>
    <x v="0"/>
    <x v="0"/>
    <x v="0"/>
    <x v="3"/>
    <n v="1"/>
  </r>
  <r>
    <n v="32"/>
    <n v="4"/>
    <n v="3"/>
    <n v="2"/>
    <n v="202"/>
    <x v="1"/>
    <x v="0"/>
    <x v="1"/>
    <x v="1"/>
    <n v="1"/>
  </r>
  <r>
    <n v="33"/>
    <n v="4"/>
    <n v="3"/>
    <n v="2"/>
    <n v="203"/>
    <x v="2"/>
    <x v="0"/>
    <x v="0"/>
    <x v="2"/>
    <n v="1"/>
  </r>
  <r>
    <n v="34"/>
    <n v="4"/>
    <n v="3"/>
    <n v="3"/>
    <n v="301"/>
    <x v="0"/>
    <x v="0"/>
    <x v="0"/>
    <x v="3"/>
    <n v="1"/>
  </r>
  <r>
    <n v="35"/>
    <n v="4"/>
    <n v="3"/>
    <n v="3"/>
    <n v="302"/>
    <x v="1"/>
    <x v="0"/>
    <x v="1"/>
    <x v="1"/>
    <n v="1"/>
  </r>
  <r>
    <n v="36"/>
    <n v="4"/>
    <n v="3"/>
    <n v="3"/>
    <n v="303"/>
    <x v="2"/>
    <x v="0"/>
    <x v="0"/>
    <x v="2"/>
    <n v="1"/>
  </r>
  <r>
    <n v="37"/>
    <n v="4"/>
    <n v="3"/>
    <n v="4"/>
    <n v="401"/>
    <x v="0"/>
    <x v="0"/>
    <x v="0"/>
    <x v="3"/>
    <n v="1"/>
  </r>
  <r>
    <n v="38"/>
    <n v="4"/>
    <n v="3"/>
    <n v="4"/>
    <n v="402"/>
    <x v="1"/>
    <x v="0"/>
    <x v="1"/>
    <x v="1"/>
    <n v="1"/>
  </r>
  <r>
    <n v="39"/>
    <n v="4"/>
    <n v="3"/>
    <n v="4"/>
    <n v="403"/>
    <x v="2"/>
    <x v="0"/>
    <x v="0"/>
    <x v="2"/>
    <n v="1"/>
  </r>
  <r>
    <n v="40"/>
    <n v="4"/>
    <n v="3"/>
    <n v="5"/>
    <n v="501"/>
    <x v="0"/>
    <x v="0"/>
    <x v="0"/>
    <x v="3"/>
    <n v="1"/>
  </r>
  <r>
    <n v="41"/>
    <n v="4"/>
    <n v="3"/>
    <n v="5"/>
    <n v="502"/>
    <x v="1"/>
    <x v="0"/>
    <x v="1"/>
    <x v="1"/>
    <n v="1"/>
  </r>
  <r>
    <n v="42"/>
    <n v="4"/>
    <n v="3"/>
    <n v="5"/>
    <n v="503"/>
    <x v="2"/>
    <x v="0"/>
    <x v="0"/>
    <x v="2"/>
    <n v="1"/>
  </r>
  <r>
    <n v="43"/>
    <n v="4"/>
    <n v="3"/>
    <n v="6"/>
    <n v="601"/>
    <x v="0"/>
    <x v="0"/>
    <x v="0"/>
    <x v="3"/>
    <n v="1"/>
  </r>
  <r>
    <n v="44"/>
    <n v="4"/>
    <n v="3"/>
    <n v="6"/>
    <n v="602"/>
    <x v="1"/>
    <x v="0"/>
    <x v="1"/>
    <x v="1"/>
    <n v="1"/>
  </r>
  <r>
    <n v="45"/>
    <n v="4"/>
    <n v="3"/>
    <n v="6"/>
    <n v="603"/>
    <x v="2"/>
    <x v="0"/>
    <x v="0"/>
    <x v="2"/>
    <n v="1"/>
  </r>
  <r>
    <n v="46"/>
    <n v="4"/>
    <n v="4"/>
    <n v="2"/>
    <n v="201"/>
    <x v="6"/>
    <x v="0"/>
    <x v="0"/>
    <x v="4"/>
    <n v="1"/>
  </r>
  <r>
    <n v="47"/>
    <n v="4"/>
    <n v="4"/>
    <n v="2"/>
    <n v="202"/>
    <x v="7"/>
    <x v="0"/>
    <x v="1"/>
    <x v="5"/>
    <n v="1"/>
  </r>
  <r>
    <n v="48"/>
    <n v="4"/>
    <n v="4"/>
    <n v="2"/>
    <n v="203"/>
    <x v="8"/>
    <x v="0"/>
    <x v="0"/>
    <x v="6"/>
    <n v="1"/>
  </r>
  <r>
    <n v="49"/>
    <n v="4"/>
    <n v="4"/>
    <n v="3"/>
    <n v="301"/>
    <x v="6"/>
    <x v="0"/>
    <x v="0"/>
    <x v="4"/>
    <n v="1"/>
  </r>
  <r>
    <n v="50"/>
    <n v="4"/>
    <n v="4"/>
    <n v="3"/>
    <n v="302"/>
    <x v="7"/>
    <x v="0"/>
    <x v="1"/>
    <x v="5"/>
    <n v="1"/>
  </r>
  <r>
    <n v="51"/>
    <n v="4"/>
    <n v="4"/>
    <n v="3"/>
    <n v="303"/>
    <x v="8"/>
    <x v="0"/>
    <x v="0"/>
    <x v="6"/>
    <n v="1"/>
  </r>
  <r>
    <n v="52"/>
    <n v="4"/>
    <n v="4"/>
    <n v="4"/>
    <n v="401"/>
    <x v="6"/>
    <x v="0"/>
    <x v="0"/>
    <x v="4"/>
    <n v="1"/>
  </r>
  <r>
    <n v="53"/>
    <n v="4"/>
    <n v="4"/>
    <n v="4"/>
    <n v="402"/>
    <x v="7"/>
    <x v="0"/>
    <x v="1"/>
    <x v="5"/>
    <n v="1"/>
  </r>
  <r>
    <n v="54"/>
    <n v="4"/>
    <n v="4"/>
    <n v="4"/>
    <n v="403"/>
    <x v="8"/>
    <x v="0"/>
    <x v="0"/>
    <x v="6"/>
    <n v="1"/>
  </r>
  <r>
    <n v="55"/>
    <n v="4"/>
    <n v="4"/>
    <n v="5"/>
    <n v="501"/>
    <x v="6"/>
    <x v="0"/>
    <x v="0"/>
    <x v="4"/>
    <n v="1"/>
  </r>
  <r>
    <n v="56"/>
    <n v="4"/>
    <n v="4"/>
    <n v="5"/>
    <n v="502"/>
    <x v="7"/>
    <x v="0"/>
    <x v="1"/>
    <x v="5"/>
    <n v="1"/>
  </r>
  <r>
    <n v="57"/>
    <n v="4"/>
    <n v="4"/>
    <n v="5"/>
    <n v="503"/>
    <x v="8"/>
    <x v="0"/>
    <x v="0"/>
    <x v="6"/>
    <n v="1"/>
  </r>
  <r>
    <n v="58"/>
    <n v="4"/>
    <n v="4"/>
    <n v="6"/>
    <n v="601"/>
    <x v="6"/>
    <x v="0"/>
    <x v="0"/>
    <x v="4"/>
    <n v="1"/>
  </r>
  <r>
    <n v="59"/>
    <n v="4"/>
    <n v="4"/>
    <n v="6"/>
    <n v="602"/>
    <x v="7"/>
    <x v="0"/>
    <x v="1"/>
    <x v="5"/>
    <n v="1"/>
  </r>
  <r>
    <n v="60"/>
    <n v="4"/>
    <n v="4"/>
    <n v="6"/>
    <n v="603"/>
    <x v="8"/>
    <x v="0"/>
    <x v="0"/>
    <x v="6"/>
    <n v="1"/>
  </r>
  <r>
    <n v="61"/>
    <n v="4"/>
    <n v="5"/>
    <n v="2"/>
    <n v="201"/>
    <x v="9"/>
    <x v="0"/>
    <x v="0"/>
    <x v="7"/>
    <n v="1"/>
  </r>
  <r>
    <n v="62"/>
    <n v="4"/>
    <n v="5"/>
    <n v="2"/>
    <n v="202"/>
    <x v="10"/>
    <x v="0"/>
    <x v="2"/>
    <x v="8"/>
    <n v="1"/>
  </r>
  <r>
    <n v="63"/>
    <n v="4"/>
    <n v="5"/>
    <n v="2"/>
    <n v="203"/>
    <x v="11"/>
    <x v="1"/>
    <x v="3"/>
    <x v="9"/>
    <n v="1"/>
  </r>
  <r>
    <n v="64"/>
    <n v="4"/>
    <n v="5"/>
    <n v="3"/>
    <n v="301"/>
    <x v="9"/>
    <x v="0"/>
    <x v="0"/>
    <x v="7"/>
    <n v="1"/>
  </r>
  <r>
    <n v="65"/>
    <n v="4"/>
    <n v="5"/>
    <n v="3"/>
    <n v="302"/>
    <x v="10"/>
    <x v="0"/>
    <x v="2"/>
    <x v="8"/>
    <n v="1"/>
  </r>
  <r>
    <n v="66"/>
    <n v="4"/>
    <n v="5"/>
    <n v="3"/>
    <n v="303"/>
    <x v="11"/>
    <x v="1"/>
    <x v="3"/>
    <x v="9"/>
    <n v="1"/>
  </r>
  <r>
    <n v="67"/>
    <n v="4"/>
    <n v="5"/>
    <n v="4"/>
    <n v="401"/>
    <x v="9"/>
    <x v="0"/>
    <x v="0"/>
    <x v="7"/>
    <n v="1"/>
  </r>
  <r>
    <n v="68"/>
    <n v="4"/>
    <n v="5"/>
    <n v="4"/>
    <n v="402"/>
    <x v="10"/>
    <x v="0"/>
    <x v="2"/>
    <x v="8"/>
    <n v="1"/>
  </r>
  <r>
    <n v="69"/>
    <n v="4"/>
    <n v="5"/>
    <n v="4"/>
    <n v="403"/>
    <x v="11"/>
    <x v="1"/>
    <x v="3"/>
    <x v="9"/>
    <n v="1"/>
  </r>
  <r>
    <n v="70"/>
    <n v="4"/>
    <n v="5"/>
    <n v="5"/>
    <n v="501"/>
    <x v="9"/>
    <x v="0"/>
    <x v="0"/>
    <x v="7"/>
    <n v="1"/>
  </r>
  <r>
    <n v="71"/>
    <n v="4"/>
    <n v="5"/>
    <n v="5"/>
    <n v="502"/>
    <x v="10"/>
    <x v="0"/>
    <x v="2"/>
    <x v="8"/>
    <n v="1"/>
  </r>
  <r>
    <n v="72"/>
    <n v="4"/>
    <n v="5"/>
    <n v="5"/>
    <n v="503"/>
    <x v="11"/>
    <x v="1"/>
    <x v="3"/>
    <x v="9"/>
    <n v="1"/>
  </r>
  <r>
    <n v="73"/>
    <n v="4"/>
    <n v="5"/>
    <n v="6"/>
    <n v="601"/>
    <x v="9"/>
    <x v="0"/>
    <x v="0"/>
    <x v="7"/>
    <n v="1"/>
  </r>
  <r>
    <n v="74"/>
    <n v="4"/>
    <n v="5"/>
    <n v="6"/>
    <n v="602"/>
    <x v="10"/>
    <x v="0"/>
    <x v="2"/>
    <x v="8"/>
    <n v="1"/>
  </r>
  <r>
    <n v="75"/>
    <n v="4"/>
    <n v="5"/>
    <n v="6"/>
    <n v="603"/>
    <x v="11"/>
    <x v="1"/>
    <x v="3"/>
    <x v="9"/>
    <n v="1"/>
  </r>
  <r>
    <n v="76"/>
    <n v="4"/>
    <n v="6"/>
    <n v="2"/>
    <n v="201"/>
    <x v="12"/>
    <x v="0"/>
    <x v="3"/>
    <x v="10"/>
    <n v="1"/>
  </r>
  <r>
    <n v="77"/>
    <n v="4"/>
    <n v="6"/>
    <n v="2"/>
    <n v="202"/>
    <x v="13"/>
    <x v="0"/>
    <x v="4"/>
    <x v="11"/>
    <n v="1"/>
  </r>
  <r>
    <n v="78"/>
    <n v="4"/>
    <n v="6"/>
    <n v="2"/>
    <n v="203"/>
    <x v="14"/>
    <x v="0"/>
    <x v="3"/>
    <x v="12"/>
    <n v="1"/>
  </r>
  <r>
    <n v="79"/>
    <n v="4"/>
    <n v="6"/>
    <n v="3"/>
    <n v="301"/>
    <x v="12"/>
    <x v="0"/>
    <x v="3"/>
    <x v="10"/>
    <n v="1"/>
  </r>
  <r>
    <n v="80"/>
    <n v="4"/>
    <n v="6"/>
    <n v="3"/>
    <n v="302"/>
    <x v="13"/>
    <x v="0"/>
    <x v="4"/>
    <x v="11"/>
    <n v="1"/>
  </r>
  <r>
    <n v="81"/>
    <n v="4"/>
    <n v="6"/>
    <n v="3"/>
    <n v="303"/>
    <x v="14"/>
    <x v="0"/>
    <x v="3"/>
    <x v="12"/>
    <n v="1"/>
  </r>
  <r>
    <n v="82"/>
    <n v="4"/>
    <n v="6"/>
    <n v="4"/>
    <n v="401"/>
    <x v="12"/>
    <x v="0"/>
    <x v="3"/>
    <x v="10"/>
    <n v="1"/>
  </r>
  <r>
    <n v="83"/>
    <n v="4"/>
    <n v="6"/>
    <n v="4"/>
    <n v="402"/>
    <x v="13"/>
    <x v="0"/>
    <x v="4"/>
    <x v="11"/>
    <n v="1"/>
  </r>
  <r>
    <n v="84"/>
    <n v="4"/>
    <n v="6"/>
    <n v="4"/>
    <n v="403"/>
    <x v="14"/>
    <x v="0"/>
    <x v="3"/>
    <x v="12"/>
    <n v="1"/>
  </r>
  <r>
    <n v="85"/>
    <n v="4"/>
    <n v="6"/>
    <n v="5"/>
    <n v="501"/>
    <x v="12"/>
    <x v="0"/>
    <x v="3"/>
    <x v="10"/>
    <n v="1"/>
  </r>
  <r>
    <n v="86"/>
    <n v="4"/>
    <n v="6"/>
    <n v="5"/>
    <n v="502"/>
    <x v="13"/>
    <x v="0"/>
    <x v="4"/>
    <x v="11"/>
    <n v="1"/>
  </r>
  <r>
    <n v="87"/>
    <n v="4"/>
    <n v="6"/>
    <n v="5"/>
    <n v="503"/>
    <x v="14"/>
    <x v="0"/>
    <x v="3"/>
    <x v="12"/>
    <n v="1"/>
  </r>
  <r>
    <n v="88"/>
    <n v="4"/>
    <n v="6"/>
    <n v="6"/>
    <n v="601"/>
    <x v="12"/>
    <x v="0"/>
    <x v="3"/>
    <x v="10"/>
    <n v="1"/>
  </r>
  <r>
    <n v="89"/>
    <n v="4"/>
    <n v="6"/>
    <n v="6"/>
    <n v="602"/>
    <x v="13"/>
    <x v="0"/>
    <x v="4"/>
    <x v="11"/>
    <n v="1"/>
  </r>
  <r>
    <n v="90"/>
    <n v="4"/>
    <n v="6"/>
    <n v="6"/>
    <n v="603"/>
    <x v="14"/>
    <x v="0"/>
    <x v="3"/>
    <x v="12"/>
    <n v="1"/>
  </r>
  <r>
    <n v="91"/>
    <n v="4"/>
    <n v="7"/>
    <n v="2"/>
    <n v="201"/>
    <x v="15"/>
    <x v="0"/>
    <x v="3"/>
    <x v="12"/>
    <n v="1"/>
  </r>
  <r>
    <n v="92"/>
    <n v="4"/>
    <n v="7"/>
    <n v="2"/>
    <n v="202"/>
    <x v="7"/>
    <x v="0"/>
    <x v="4"/>
    <x v="11"/>
    <n v="1"/>
  </r>
  <r>
    <n v="93"/>
    <n v="4"/>
    <n v="7"/>
    <n v="2"/>
    <n v="203"/>
    <x v="16"/>
    <x v="0"/>
    <x v="1"/>
    <x v="13"/>
    <n v="1"/>
  </r>
  <r>
    <n v="94"/>
    <n v="4"/>
    <n v="7"/>
    <n v="3"/>
    <n v="301"/>
    <x v="15"/>
    <x v="0"/>
    <x v="3"/>
    <x v="12"/>
    <n v="1"/>
  </r>
  <r>
    <n v="95"/>
    <n v="4"/>
    <n v="7"/>
    <n v="3"/>
    <n v="302"/>
    <x v="7"/>
    <x v="0"/>
    <x v="4"/>
    <x v="11"/>
    <n v="1"/>
  </r>
  <r>
    <n v="96"/>
    <n v="4"/>
    <n v="7"/>
    <n v="3"/>
    <n v="303"/>
    <x v="16"/>
    <x v="0"/>
    <x v="1"/>
    <x v="13"/>
    <n v="1"/>
  </r>
  <r>
    <n v="97"/>
    <n v="4"/>
    <n v="7"/>
    <n v="4"/>
    <n v="401"/>
    <x v="15"/>
    <x v="0"/>
    <x v="3"/>
    <x v="12"/>
    <n v="1"/>
  </r>
  <r>
    <n v="98"/>
    <n v="4"/>
    <n v="7"/>
    <n v="4"/>
    <n v="402"/>
    <x v="7"/>
    <x v="0"/>
    <x v="4"/>
    <x v="11"/>
    <n v="1"/>
  </r>
  <r>
    <n v="99"/>
    <n v="4"/>
    <n v="7"/>
    <n v="4"/>
    <n v="403"/>
    <x v="16"/>
    <x v="0"/>
    <x v="1"/>
    <x v="13"/>
    <n v="1"/>
  </r>
  <r>
    <n v="100"/>
    <n v="4"/>
    <n v="7"/>
    <n v="5"/>
    <n v="501"/>
    <x v="15"/>
    <x v="0"/>
    <x v="3"/>
    <x v="12"/>
    <n v="1"/>
  </r>
  <r>
    <n v="101"/>
    <n v="4"/>
    <n v="7"/>
    <n v="5"/>
    <n v="502"/>
    <x v="7"/>
    <x v="0"/>
    <x v="4"/>
    <x v="11"/>
    <n v="1"/>
  </r>
  <r>
    <n v="102"/>
    <n v="4"/>
    <n v="7"/>
    <n v="5"/>
    <n v="503"/>
    <x v="16"/>
    <x v="0"/>
    <x v="1"/>
    <x v="13"/>
    <n v="1"/>
  </r>
  <r>
    <n v="103"/>
    <n v="4"/>
    <n v="7"/>
    <n v="6"/>
    <n v="601"/>
    <x v="15"/>
    <x v="0"/>
    <x v="3"/>
    <x v="12"/>
    <n v="1"/>
  </r>
  <r>
    <n v="104"/>
    <n v="4"/>
    <n v="7"/>
    <n v="6"/>
    <n v="602"/>
    <x v="7"/>
    <x v="0"/>
    <x v="4"/>
    <x v="11"/>
    <n v="1"/>
  </r>
  <r>
    <n v="105"/>
    <n v="4"/>
    <n v="7"/>
    <n v="6"/>
    <n v="603"/>
    <x v="16"/>
    <x v="0"/>
    <x v="1"/>
    <x v="13"/>
    <n v="1"/>
  </r>
  <r>
    <n v="106"/>
    <n v="5"/>
    <n v="1"/>
    <n v="1"/>
    <n v="101"/>
    <x v="17"/>
    <x v="0"/>
    <x v="3"/>
    <x v="14"/>
    <n v="1"/>
  </r>
  <r>
    <n v="107"/>
    <n v="5"/>
    <n v="1"/>
    <n v="1"/>
    <n v="102"/>
    <x v="7"/>
    <x v="0"/>
    <x v="5"/>
    <x v="15"/>
    <n v="1"/>
  </r>
  <r>
    <n v="108"/>
    <n v="5"/>
    <n v="1"/>
    <n v="2"/>
    <n v="201"/>
    <x v="17"/>
    <x v="0"/>
    <x v="3"/>
    <x v="16"/>
    <n v="1"/>
  </r>
  <r>
    <n v="109"/>
    <n v="5"/>
    <n v="1"/>
    <n v="2"/>
    <n v="202"/>
    <x v="7"/>
    <x v="0"/>
    <x v="5"/>
    <x v="17"/>
    <n v="1"/>
  </r>
  <r>
    <n v="110"/>
    <n v="5"/>
    <n v="1"/>
    <n v="2"/>
    <n v="203"/>
    <x v="18"/>
    <x v="0"/>
    <x v="3"/>
    <x v="18"/>
    <n v="1"/>
  </r>
  <r>
    <n v="111"/>
    <n v="5"/>
    <n v="1"/>
    <n v="3"/>
    <n v="301"/>
    <x v="17"/>
    <x v="0"/>
    <x v="3"/>
    <x v="16"/>
    <n v="1"/>
  </r>
  <r>
    <n v="112"/>
    <n v="5"/>
    <n v="1"/>
    <n v="3"/>
    <n v="302"/>
    <x v="7"/>
    <x v="0"/>
    <x v="5"/>
    <x v="17"/>
    <n v="1"/>
  </r>
  <r>
    <n v="113"/>
    <n v="5"/>
    <n v="1"/>
    <n v="3"/>
    <n v="303"/>
    <x v="18"/>
    <x v="0"/>
    <x v="3"/>
    <x v="18"/>
    <n v="1"/>
  </r>
  <r>
    <n v="114"/>
    <n v="5"/>
    <n v="1"/>
    <n v="4"/>
    <n v="401"/>
    <x v="17"/>
    <x v="0"/>
    <x v="3"/>
    <x v="16"/>
    <n v="1"/>
  </r>
  <r>
    <n v="115"/>
    <n v="5"/>
    <n v="1"/>
    <n v="4"/>
    <n v="402"/>
    <x v="7"/>
    <x v="0"/>
    <x v="5"/>
    <x v="17"/>
    <n v="1"/>
  </r>
  <r>
    <n v="116"/>
    <n v="5"/>
    <n v="1"/>
    <n v="4"/>
    <n v="403"/>
    <x v="18"/>
    <x v="0"/>
    <x v="3"/>
    <x v="18"/>
    <n v="1"/>
  </r>
  <r>
    <n v="117"/>
    <n v="5"/>
    <n v="1"/>
    <n v="5"/>
    <n v="501"/>
    <x v="17"/>
    <x v="0"/>
    <x v="3"/>
    <x v="16"/>
    <n v="1"/>
  </r>
  <r>
    <n v="118"/>
    <n v="5"/>
    <n v="1"/>
    <n v="5"/>
    <n v="502"/>
    <x v="7"/>
    <x v="0"/>
    <x v="5"/>
    <x v="17"/>
    <n v="1"/>
  </r>
  <r>
    <n v="119"/>
    <n v="5"/>
    <n v="1"/>
    <n v="5"/>
    <n v="503"/>
    <x v="18"/>
    <x v="0"/>
    <x v="3"/>
    <x v="18"/>
    <n v="1"/>
  </r>
  <r>
    <n v="120"/>
    <n v="5"/>
    <n v="1"/>
    <n v="6"/>
    <n v="601"/>
    <x v="17"/>
    <x v="0"/>
    <x v="3"/>
    <x v="16"/>
    <n v="1"/>
  </r>
  <r>
    <n v="121"/>
    <n v="5"/>
    <n v="1"/>
    <n v="6"/>
    <n v="602"/>
    <x v="7"/>
    <x v="0"/>
    <x v="5"/>
    <x v="17"/>
    <n v="1"/>
  </r>
  <r>
    <n v="122"/>
    <n v="5"/>
    <n v="1"/>
    <n v="6"/>
    <n v="603"/>
    <x v="18"/>
    <x v="0"/>
    <x v="3"/>
    <x v="18"/>
    <n v="1"/>
  </r>
  <r>
    <n v="123"/>
    <n v="5"/>
    <n v="2"/>
    <n v="1"/>
    <n v="101"/>
    <x v="19"/>
    <x v="0"/>
    <x v="5"/>
    <x v="19"/>
    <n v="1"/>
  </r>
  <r>
    <n v="124"/>
    <n v="5"/>
    <n v="2"/>
    <n v="1"/>
    <n v="102"/>
    <x v="20"/>
    <x v="2"/>
    <x v="1"/>
    <x v="20"/>
    <n v="1"/>
  </r>
  <r>
    <n v="125"/>
    <n v="5"/>
    <n v="2"/>
    <n v="1"/>
    <n v="103"/>
    <x v="21"/>
    <x v="0"/>
    <x v="0"/>
    <x v="21"/>
    <n v="1"/>
  </r>
  <r>
    <n v="126"/>
    <n v="5"/>
    <n v="2"/>
    <n v="2"/>
    <n v="201"/>
    <x v="22"/>
    <x v="2"/>
    <x v="5"/>
    <x v="22"/>
    <n v="1"/>
  </r>
  <r>
    <n v="127"/>
    <n v="5"/>
    <n v="2"/>
    <n v="2"/>
    <n v="202"/>
    <x v="20"/>
    <x v="2"/>
    <x v="1"/>
    <x v="20"/>
    <n v="1"/>
  </r>
  <r>
    <n v="128"/>
    <n v="5"/>
    <n v="2"/>
    <n v="2"/>
    <n v="203"/>
    <x v="21"/>
    <x v="0"/>
    <x v="0"/>
    <x v="21"/>
    <n v="1"/>
  </r>
  <r>
    <n v="129"/>
    <n v="5"/>
    <n v="2"/>
    <n v="3"/>
    <n v="301"/>
    <x v="22"/>
    <x v="2"/>
    <x v="5"/>
    <x v="22"/>
    <n v="1"/>
  </r>
  <r>
    <n v="130"/>
    <n v="5"/>
    <n v="2"/>
    <n v="3"/>
    <n v="302"/>
    <x v="20"/>
    <x v="2"/>
    <x v="1"/>
    <x v="20"/>
    <n v="1"/>
  </r>
  <r>
    <n v="131"/>
    <n v="5"/>
    <n v="2"/>
    <n v="3"/>
    <n v="303"/>
    <x v="21"/>
    <x v="0"/>
    <x v="0"/>
    <x v="21"/>
    <n v="1"/>
  </r>
  <r>
    <n v="132"/>
    <n v="5"/>
    <n v="2"/>
    <n v="4"/>
    <n v="401"/>
    <x v="22"/>
    <x v="2"/>
    <x v="5"/>
    <x v="22"/>
    <n v="1"/>
  </r>
  <r>
    <n v="133"/>
    <n v="5"/>
    <n v="2"/>
    <n v="4"/>
    <n v="402"/>
    <x v="20"/>
    <x v="2"/>
    <x v="1"/>
    <x v="20"/>
    <n v="1"/>
  </r>
  <r>
    <n v="134"/>
    <n v="5"/>
    <n v="2"/>
    <n v="4"/>
    <n v="403"/>
    <x v="21"/>
    <x v="0"/>
    <x v="0"/>
    <x v="21"/>
    <n v="1"/>
  </r>
  <r>
    <n v="135"/>
    <n v="5"/>
    <n v="2"/>
    <n v="5"/>
    <n v="501"/>
    <x v="22"/>
    <x v="2"/>
    <x v="5"/>
    <x v="22"/>
    <n v="1"/>
  </r>
  <r>
    <n v="136"/>
    <n v="5"/>
    <n v="2"/>
    <n v="5"/>
    <n v="502"/>
    <x v="20"/>
    <x v="2"/>
    <x v="1"/>
    <x v="20"/>
    <n v="1"/>
  </r>
  <r>
    <n v="137"/>
    <n v="5"/>
    <n v="2"/>
    <n v="5"/>
    <n v="503"/>
    <x v="21"/>
    <x v="0"/>
    <x v="0"/>
    <x v="21"/>
    <n v="1"/>
  </r>
  <r>
    <n v="138"/>
    <n v="5"/>
    <n v="2"/>
    <n v="6"/>
    <n v="601"/>
    <x v="22"/>
    <x v="2"/>
    <x v="5"/>
    <x v="22"/>
    <n v="1"/>
  </r>
  <r>
    <n v="139"/>
    <n v="5"/>
    <n v="2"/>
    <n v="6"/>
    <n v="602"/>
    <x v="20"/>
    <x v="2"/>
    <x v="1"/>
    <x v="20"/>
    <n v="1"/>
  </r>
  <r>
    <n v="140"/>
    <n v="5"/>
    <n v="2"/>
    <n v="6"/>
    <n v="603"/>
    <x v="21"/>
    <x v="0"/>
    <x v="0"/>
    <x v="21"/>
    <n v="1"/>
  </r>
  <r>
    <n v="141"/>
    <n v="5"/>
    <n v="3"/>
    <n v="1"/>
    <n v="101"/>
    <x v="23"/>
    <x v="2"/>
    <x v="0"/>
    <x v="23"/>
    <n v="1"/>
  </r>
  <r>
    <n v="142"/>
    <n v="5"/>
    <n v="3"/>
    <n v="1"/>
    <n v="102"/>
    <x v="7"/>
    <x v="0"/>
    <x v="1"/>
    <x v="17"/>
    <n v="1"/>
  </r>
  <r>
    <n v="143"/>
    <n v="5"/>
    <n v="3"/>
    <n v="1"/>
    <n v="103"/>
    <x v="15"/>
    <x v="0"/>
    <x v="0"/>
    <x v="24"/>
    <n v="1"/>
  </r>
  <r>
    <n v="144"/>
    <n v="5"/>
    <n v="3"/>
    <n v="2"/>
    <n v="201"/>
    <x v="6"/>
    <x v="0"/>
    <x v="0"/>
    <x v="25"/>
    <n v="1"/>
  </r>
  <r>
    <n v="145"/>
    <n v="5"/>
    <n v="3"/>
    <n v="2"/>
    <n v="202"/>
    <x v="7"/>
    <x v="0"/>
    <x v="1"/>
    <x v="17"/>
    <n v="1"/>
  </r>
  <r>
    <n v="146"/>
    <n v="5"/>
    <n v="3"/>
    <n v="2"/>
    <n v="203"/>
    <x v="15"/>
    <x v="0"/>
    <x v="0"/>
    <x v="24"/>
    <n v="1"/>
  </r>
  <r>
    <n v="147"/>
    <n v="5"/>
    <n v="3"/>
    <n v="3"/>
    <n v="301"/>
    <x v="6"/>
    <x v="0"/>
    <x v="0"/>
    <x v="25"/>
    <n v="1"/>
  </r>
  <r>
    <n v="148"/>
    <n v="5"/>
    <n v="3"/>
    <n v="3"/>
    <n v="302"/>
    <x v="7"/>
    <x v="0"/>
    <x v="1"/>
    <x v="17"/>
    <n v="1"/>
  </r>
  <r>
    <n v="149"/>
    <n v="5"/>
    <n v="3"/>
    <n v="3"/>
    <n v="303"/>
    <x v="15"/>
    <x v="0"/>
    <x v="0"/>
    <x v="24"/>
    <n v="1"/>
  </r>
  <r>
    <n v="150"/>
    <n v="5"/>
    <n v="3"/>
    <n v="4"/>
    <n v="401"/>
    <x v="6"/>
    <x v="0"/>
    <x v="0"/>
    <x v="25"/>
    <n v="1"/>
  </r>
  <r>
    <n v="151"/>
    <n v="5"/>
    <n v="3"/>
    <n v="4"/>
    <n v="402"/>
    <x v="7"/>
    <x v="0"/>
    <x v="1"/>
    <x v="17"/>
    <n v="1"/>
  </r>
  <r>
    <n v="152"/>
    <n v="5"/>
    <n v="3"/>
    <n v="4"/>
    <n v="403"/>
    <x v="15"/>
    <x v="0"/>
    <x v="0"/>
    <x v="24"/>
    <n v="1"/>
  </r>
  <r>
    <n v="153"/>
    <n v="5"/>
    <n v="3"/>
    <n v="5"/>
    <n v="501"/>
    <x v="6"/>
    <x v="0"/>
    <x v="0"/>
    <x v="25"/>
    <n v="1"/>
  </r>
  <r>
    <n v="154"/>
    <n v="5"/>
    <n v="3"/>
    <n v="5"/>
    <n v="502"/>
    <x v="7"/>
    <x v="0"/>
    <x v="1"/>
    <x v="17"/>
    <n v="1"/>
  </r>
  <r>
    <n v="155"/>
    <n v="5"/>
    <n v="3"/>
    <n v="5"/>
    <n v="503"/>
    <x v="15"/>
    <x v="0"/>
    <x v="0"/>
    <x v="24"/>
    <n v="1"/>
  </r>
  <r>
    <n v="156"/>
    <n v="5"/>
    <n v="3"/>
    <n v="6"/>
    <n v="601"/>
    <x v="6"/>
    <x v="0"/>
    <x v="0"/>
    <x v="25"/>
    <n v="1"/>
  </r>
  <r>
    <n v="157"/>
    <n v="5"/>
    <n v="3"/>
    <n v="6"/>
    <n v="602"/>
    <x v="7"/>
    <x v="0"/>
    <x v="1"/>
    <x v="17"/>
    <n v="1"/>
  </r>
  <r>
    <n v="158"/>
    <n v="5"/>
    <n v="3"/>
    <n v="6"/>
    <n v="603"/>
    <x v="15"/>
    <x v="0"/>
    <x v="0"/>
    <x v="24"/>
    <n v="1"/>
  </r>
  <r>
    <n v="159"/>
    <n v="5"/>
    <n v="4"/>
    <n v="1"/>
    <n v="101"/>
    <x v="14"/>
    <x v="0"/>
    <x v="0"/>
    <x v="24"/>
    <n v="1"/>
  </r>
  <r>
    <n v="160"/>
    <n v="5"/>
    <n v="4"/>
    <n v="1"/>
    <n v="102"/>
    <x v="13"/>
    <x v="0"/>
    <x v="1"/>
    <x v="17"/>
    <n v="1"/>
  </r>
  <r>
    <n v="161"/>
    <n v="5"/>
    <n v="4"/>
    <n v="1"/>
    <n v="103"/>
    <x v="24"/>
    <x v="2"/>
    <x v="0"/>
    <x v="23"/>
    <n v="1"/>
  </r>
  <r>
    <n v="162"/>
    <n v="5"/>
    <n v="4"/>
    <n v="2"/>
    <n v="201"/>
    <x v="14"/>
    <x v="0"/>
    <x v="0"/>
    <x v="24"/>
    <n v="1"/>
  </r>
  <r>
    <n v="163"/>
    <n v="5"/>
    <n v="4"/>
    <n v="2"/>
    <n v="202"/>
    <x v="13"/>
    <x v="0"/>
    <x v="1"/>
    <x v="17"/>
    <n v="1"/>
  </r>
  <r>
    <n v="164"/>
    <n v="5"/>
    <n v="4"/>
    <n v="2"/>
    <n v="203"/>
    <x v="25"/>
    <x v="0"/>
    <x v="0"/>
    <x v="25"/>
    <n v="1"/>
  </r>
  <r>
    <n v="165"/>
    <n v="5"/>
    <n v="4"/>
    <n v="3"/>
    <n v="301"/>
    <x v="14"/>
    <x v="0"/>
    <x v="0"/>
    <x v="24"/>
    <n v="1"/>
  </r>
  <r>
    <n v="166"/>
    <n v="5"/>
    <n v="4"/>
    <n v="3"/>
    <n v="302"/>
    <x v="13"/>
    <x v="0"/>
    <x v="1"/>
    <x v="17"/>
    <n v="1"/>
  </r>
  <r>
    <n v="167"/>
    <n v="5"/>
    <n v="4"/>
    <n v="3"/>
    <n v="303"/>
    <x v="25"/>
    <x v="0"/>
    <x v="0"/>
    <x v="25"/>
    <n v="1"/>
  </r>
  <r>
    <n v="168"/>
    <n v="5"/>
    <n v="4"/>
    <n v="4"/>
    <n v="401"/>
    <x v="14"/>
    <x v="0"/>
    <x v="0"/>
    <x v="24"/>
    <n v="1"/>
  </r>
  <r>
    <n v="169"/>
    <n v="5"/>
    <n v="4"/>
    <n v="4"/>
    <n v="402"/>
    <x v="13"/>
    <x v="0"/>
    <x v="1"/>
    <x v="17"/>
    <n v="1"/>
  </r>
  <r>
    <n v="170"/>
    <n v="5"/>
    <n v="4"/>
    <n v="4"/>
    <n v="403"/>
    <x v="25"/>
    <x v="0"/>
    <x v="0"/>
    <x v="25"/>
    <n v="1"/>
  </r>
  <r>
    <n v="171"/>
    <n v="5"/>
    <n v="4"/>
    <n v="5"/>
    <n v="501"/>
    <x v="14"/>
    <x v="0"/>
    <x v="0"/>
    <x v="24"/>
    <n v="1"/>
  </r>
  <r>
    <n v="172"/>
    <n v="5"/>
    <n v="4"/>
    <n v="5"/>
    <n v="502"/>
    <x v="13"/>
    <x v="0"/>
    <x v="1"/>
    <x v="17"/>
    <n v="1"/>
  </r>
  <r>
    <n v="173"/>
    <n v="5"/>
    <n v="4"/>
    <n v="5"/>
    <n v="503"/>
    <x v="25"/>
    <x v="0"/>
    <x v="0"/>
    <x v="25"/>
    <n v="1"/>
  </r>
  <r>
    <n v="174"/>
    <n v="5"/>
    <n v="4"/>
    <n v="6"/>
    <n v="601"/>
    <x v="14"/>
    <x v="0"/>
    <x v="0"/>
    <x v="24"/>
    <n v="1"/>
  </r>
  <r>
    <n v="175"/>
    <n v="5"/>
    <n v="4"/>
    <n v="6"/>
    <n v="602"/>
    <x v="13"/>
    <x v="0"/>
    <x v="1"/>
    <x v="17"/>
    <n v="1"/>
  </r>
  <r>
    <n v="176"/>
    <n v="5"/>
    <n v="4"/>
    <n v="6"/>
    <n v="603"/>
    <x v="25"/>
    <x v="0"/>
    <x v="0"/>
    <x v="25"/>
    <n v="1"/>
  </r>
  <r>
    <n v="177"/>
    <n v="5"/>
    <n v="5"/>
    <n v="1"/>
    <n v="101"/>
    <x v="23"/>
    <x v="2"/>
    <x v="0"/>
    <x v="23"/>
    <n v="1"/>
  </r>
  <r>
    <n v="178"/>
    <n v="5"/>
    <n v="5"/>
    <n v="1"/>
    <n v="102"/>
    <x v="7"/>
    <x v="0"/>
    <x v="1"/>
    <x v="17"/>
    <n v="1"/>
  </r>
  <r>
    <n v="179"/>
    <n v="5"/>
    <n v="5"/>
    <n v="1"/>
    <n v="103"/>
    <x v="15"/>
    <x v="0"/>
    <x v="0"/>
    <x v="26"/>
    <n v="1"/>
  </r>
  <r>
    <n v="180"/>
    <n v="5"/>
    <n v="5"/>
    <n v="2"/>
    <n v="201"/>
    <x v="6"/>
    <x v="0"/>
    <x v="0"/>
    <x v="25"/>
    <n v="1"/>
  </r>
  <r>
    <n v="181"/>
    <n v="5"/>
    <n v="5"/>
    <n v="2"/>
    <n v="202"/>
    <x v="7"/>
    <x v="0"/>
    <x v="1"/>
    <x v="17"/>
    <n v="1"/>
  </r>
  <r>
    <n v="182"/>
    <n v="5"/>
    <n v="5"/>
    <n v="2"/>
    <n v="203"/>
    <x v="15"/>
    <x v="0"/>
    <x v="0"/>
    <x v="26"/>
    <n v="1"/>
  </r>
  <r>
    <n v="183"/>
    <n v="5"/>
    <n v="5"/>
    <n v="3"/>
    <n v="301"/>
    <x v="6"/>
    <x v="0"/>
    <x v="0"/>
    <x v="25"/>
    <n v="1"/>
  </r>
  <r>
    <n v="184"/>
    <n v="5"/>
    <n v="5"/>
    <n v="3"/>
    <n v="302"/>
    <x v="7"/>
    <x v="0"/>
    <x v="1"/>
    <x v="17"/>
    <n v="1"/>
  </r>
  <r>
    <n v="185"/>
    <n v="5"/>
    <n v="5"/>
    <n v="3"/>
    <n v="303"/>
    <x v="15"/>
    <x v="0"/>
    <x v="0"/>
    <x v="26"/>
    <n v="1"/>
  </r>
  <r>
    <n v="186"/>
    <n v="5"/>
    <n v="5"/>
    <n v="4"/>
    <n v="401"/>
    <x v="6"/>
    <x v="0"/>
    <x v="0"/>
    <x v="25"/>
    <n v="1"/>
  </r>
  <r>
    <n v="187"/>
    <n v="5"/>
    <n v="5"/>
    <n v="4"/>
    <n v="402"/>
    <x v="7"/>
    <x v="0"/>
    <x v="1"/>
    <x v="17"/>
    <n v="1"/>
  </r>
  <r>
    <n v="188"/>
    <n v="5"/>
    <n v="5"/>
    <n v="4"/>
    <n v="403"/>
    <x v="15"/>
    <x v="0"/>
    <x v="0"/>
    <x v="26"/>
    <n v="1"/>
  </r>
  <r>
    <n v="189"/>
    <n v="5"/>
    <n v="5"/>
    <n v="5"/>
    <n v="501"/>
    <x v="6"/>
    <x v="0"/>
    <x v="0"/>
    <x v="25"/>
    <n v="1"/>
  </r>
  <r>
    <n v="190"/>
    <n v="5"/>
    <n v="5"/>
    <n v="5"/>
    <n v="502"/>
    <x v="7"/>
    <x v="0"/>
    <x v="1"/>
    <x v="17"/>
    <n v="1"/>
  </r>
  <r>
    <n v="191"/>
    <n v="5"/>
    <n v="5"/>
    <n v="5"/>
    <n v="503"/>
    <x v="15"/>
    <x v="0"/>
    <x v="0"/>
    <x v="26"/>
    <n v="1"/>
  </r>
  <r>
    <n v="192"/>
    <n v="5"/>
    <n v="5"/>
    <n v="6"/>
    <n v="601"/>
    <x v="6"/>
    <x v="0"/>
    <x v="0"/>
    <x v="25"/>
    <n v="1"/>
  </r>
  <r>
    <n v="193"/>
    <n v="5"/>
    <n v="5"/>
    <n v="6"/>
    <n v="602"/>
    <x v="7"/>
    <x v="0"/>
    <x v="1"/>
    <x v="17"/>
    <n v="1"/>
  </r>
  <r>
    <n v="194"/>
    <n v="5"/>
    <n v="5"/>
    <n v="6"/>
    <n v="603"/>
    <x v="15"/>
    <x v="0"/>
    <x v="0"/>
    <x v="26"/>
    <n v="1"/>
  </r>
  <r>
    <n v="195"/>
    <n v="3"/>
    <n v="1"/>
    <n v="1"/>
    <n v="101"/>
    <x v="26"/>
    <x v="0"/>
    <x v="0"/>
    <x v="27"/>
    <n v="1"/>
  </r>
  <r>
    <n v="196"/>
    <n v="3"/>
    <n v="1"/>
    <n v="1"/>
    <n v="102"/>
    <x v="27"/>
    <x v="2"/>
    <x v="1"/>
    <x v="28"/>
    <n v="1"/>
  </r>
  <r>
    <n v="197"/>
    <n v="3"/>
    <n v="1"/>
    <n v="1"/>
    <n v="103"/>
    <x v="25"/>
    <x v="0"/>
    <x v="0"/>
    <x v="29"/>
    <n v="1"/>
  </r>
  <r>
    <n v="198"/>
    <n v="3"/>
    <n v="1"/>
    <n v="2"/>
    <n v="201"/>
    <x v="14"/>
    <x v="0"/>
    <x v="0"/>
    <x v="30"/>
    <n v="1"/>
  </r>
  <r>
    <n v="199"/>
    <n v="3"/>
    <n v="1"/>
    <n v="2"/>
    <n v="202"/>
    <x v="13"/>
    <x v="0"/>
    <x v="1"/>
    <x v="31"/>
    <n v="1"/>
  </r>
  <r>
    <n v="200"/>
    <n v="3"/>
    <n v="1"/>
    <n v="2"/>
    <n v="203"/>
    <x v="25"/>
    <x v="0"/>
    <x v="0"/>
    <x v="29"/>
    <n v="1"/>
  </r>
  <r>
    <n v="201"/>
    <n v="3"/>
    <n v="1"/>
    <n v="3"/>
    <n v="301"/>
    <x v="14"/>
    <x v="0"/>
    <x v="0"/>
    <x v="30"/>
    <n v="1"/>
  </r>
  <r>
    <n v="202"/>
    <n v="3"/>
    <n v="1"/>
    <n v="3"/>
    <n v="302"/>
    <x v="13"/>
    <x v="0"/>
    <x v="1"/>
    <x v="31"/>
    <n v="1"/>
  </r>
  <r>
    <n v="203"/>
    <n v="3"/>
    <n v="1"/>
    <n v="3"/>
    <n v="303"/>
    <x v="25"/>
    <x v="0"/>
    <x v="0"/>
    <x v="29"/>
    <n v="1"/>
  </r>
  <r>
    <n v="204"/>
    <n v="3"/>
    <n v="1"/>
    <n v="4"/>
    <n v="401"/>
    <x v="14"/>
    <x v="0"/>
    <x v="0"/>
    <x v="30"/>
    <n v="1"/>
  </r>
  <r>
    <n v="205"/>
    <n v="3"/>
    <n v="1"/>
    <n v="4"/>
    <n v="402"/>
    <x v="13"/>
    <x v="0"/>
    <x v="1"/>
    <x v="31"/>
    <n v="1"/>
  </r>
  <r>
    <n v="206"/>
    <n v="3"/>
    <n v="1"/>
    <n v="4"/>
    <n v="403"/>
    <x v="25"/>
    <x v="0"/>
    <x v="0"/>
    <x v="29"/>
    <n v="1"/>
  </r>
  <r>
    <n v="207"/>
    <n v="3"/>
    <n v="1"/>
    <n v="5"/>
    <n v="501"/>
    <x v="14"/>
    <x v="0"/>
    <x v="0"/>
    <x v="30"/>
    <n v="1"/>
  </r>
  <r>
    <n v="208"/>
    <n v="3"/>
    <n v="1"/>
    <n v="5"/>
    <n v="502"/>
    <x v="13"/>
    <x v="0"/>
    <x v="1"/>
    <x v="31"/>
    <n v="1"/>
  </r>
  <r>
    <n v="209"/>
    <n v="3"/>
    <n v="1"/>
    <n v="5"/>
    <n v="503"/>
    <x v="25"/>
    <x v="0"/>
    <x v="0"/>
    <x v="29"/>
    <n v="1"/>
  </r>
  <r>
    <n v="210"/>
    <n v="3"/>
    <n v="1"/>
    <n v="6"/>
    <n v="601"/>
    <x v="14"/>
    <x v="0"/>
    <x v="0"/>
    <x v="30"/>
    <n v="1"/>
  </r>
  <r>
    <n v="211"/>
    <n v="3"/>
    <n v="1"/>
    <n v="6"/>
    <n v="602"/>
    <x v="13"/>
    <x v="0"/>
    <x v="1"/>
    <x v="31"/>
    <n v="1"/>
  </r>
  <r>
    <n v="212"/>
    <n v="3"/>
    <n v="1"/>
    <n v="6"/>
    <n v="603"/>
    <x v="25"/>
    <x v="0"/>
    <x v="0"/>
    <x v="29"/>
    <n v="1"/>
  </r>
  <r>
    <n v="213"/>
    <n v="3"/>
    <n v="2"/>
    <n v="2"/>
    <n v="201"/>
    <x v="3"/>
    <x v="0"/>
    <x v="0"/>
    <x v="32"/>
    <n v="1"/>
  </r>
  <r>
    <n v="214"/>
    <n v="3"/>
    <n v="2"/>
    <n v="2"/>
    <n v="202"/>
    <x v="4"/>
    <x v="0"/>
    <x v="1"/>
    <x v="33"/>
    <n v="1"/>
  </r>
  <r>
    <n v="215"/>
    <n v="3"/>
    <n v="2"/>
    <n v="2"/>
    <n v="203"/>
    <x v="5"/>
    <x v="0"/>
    <x v="0"/>
    <x v="34"/>
    <n v="1"/>
  </r>
  <r>
    <n v="216"/>
    <n v="3"/>
    <n v="2"/>
    <n v="3"/>
    <n v="301"/>
    <x v="3"/>
    <x v="0"/>
    <x v="0"/>
    <x v="32"/>
    <n v="1"/>
  </r>
  <r>
    <n v="217"/>
    <n v="3"/>
    <n v="2"/>
    <n v="3"/>
    <n v="302"/>
    <x v="4"/>
    <x v="0"/>
    <x v="1"/>
    <x v="33"/>
    <n v="1"/>
  </r>
  <r>
    <n v="218"/>
    <n v="3"/>
    <n v="2"/>
    <n v="3"/>
    <n v="303"/>
    <x v="5"/>
    <x v="0"/>
    <x v="0"/>
    <x v="34"/>
    <n v="1"/>
  </r>
  <r>
    <n v="219"/>
    <n v="3"/>
    <n v="2"/>
    <n v="4"/>
    <n v="401"/>
    <x v="3"/>
    <x v="0"/>
    <x v="0"/>
    <x v="32"/>
    <n v="1"/>
  </r>
  <r>
    <n v="220"/>
    <n v="3"/>
    <n v="2"/>
    <n v="4"/>
    <n v="402"/>
    <x v="4"/>
    <x v="0"/>
    <x v="1"/>
    <x v="33"/>
    <n v="1"/>
  </r>
  <r>
    <n v="221"/>
    <n v="3"/>
    <n v="2"/>
    <n v="4"/>
    <n v="403"/>
    <x v="5"/>
    <x v="0"/>
    <x v="0"/>
    <x v="34"/>
    <n v="1"/>
  </r>
  <r>
    <n v="222"/>
    <n v="3"/>
    <n v="2"/>
    <n v="5"/>
    <n v="501"/>
    <x v="3"/>
    <x v="0"/>
    <x v="0"/>
    <x v="32"/>
    <n v="1"/>
  </r>
  <r>
    <n v="223"/>
    <n v="3"/>
    <n v="2"/>
    <n v="5"/>
    <n v="502"/>
    <x v="4"/>
    <x v="0"/>
    <x v="1"/>
    <x v="33"/>
    <n v="1"/>
  </r>
  <r>
    <n v="224"/>
    <n v="3"/>
    <n v="2"/>
    <n v="5"/>
    <n v="503"/>
    <x v="5"/>
    <x v="0"/>
    <x v="0"/>
    <x v="34"/>
    <n v="1"/>
  </r>
  <r>
    <n v="225"/>
    <n v="3"/>
    <n v="2"/>
    <n v="6"/>
    <n v="601"/>
    <x v="3"/>
    <x v="0"/>
    <x v="0"/>
    <x v="32"/>
    <n v="1"/>
  </r>
  <r>
    <n v="226"/>
    <n v="3"/>
    <n v="2"/>
    <n v="6"/>
    <n v="602"/>
    <x v="4"/>
    <x v="0"/>
    <x v="1"/>
    <x v="33"/>
    <n v="1"/>
  </r>
  <r>
    <n v="227"/>
    <n v="3"/>
    <n v="2"/>
    <n v="6"/>
    <n v="603"/>
    <x v="5"/>
    <x v="0"/>
    <x v="0"/>
    <x v="34"/>
    <n v="1"/>
  </r>
  <r>
    <n v="228"/>
    <n v="3"/>
    <n v="3"/>
    <n v="2"/>
    <n v="201"/>
    <x v="0"/>
    <x v="0"/>
    <x v="0"/>
    <x v="34"/>
    <n v="1"/>
  </r>
  <r>
    <n v="229"/>
    <n v="3"/>
    <n v="3"/>
    <n v="2"/>
    <n v="202"/>
    <x v="1"/>
    <x v="0"/>
    <x v="1"/>
    <x v="33"/>
    <n v="1"/>
  </r>
  <r>
    <n v="230"/>
    <n v="3"/>
    <n v="3"/>
    <n v="2"/>
    <n v="203"/>
    <x v="2"/>
    <x v="0"/>
    <x v="0"/>
    <x v="32"/>
    <n v="1"/>
  </r>
  <r>
    <n v="231"/>
    <n v="3"/>
    <n v="3"/>
    <n v="3"/>
    <n v="301"/>
    <x v="0"/>
    <x v="0"/>
    <x v="0"/>
    <x v="34"/>
    <n v="1"/>
  </r>
  <r>
    <n v="232"/>
    <n v="3"/>
    <n v="3"/>
    <n v="3"/>
    <n v="302"/>
    <x v="1"/>
    <x v="0"/>
    <x v="1"/>
    <x v="33"/>
    <n v="1"/>
  </r>
  <r>
    <n v="233"/>
    <n v="3"/>
    <n v="3"/>
    <n v="3"/>
    <n v="303"/>
    <x v="2"/>
    <x v="0"/>
    <x v="0"/>
    <x v="32"/>
    <n v="1"/>
  </r>
  <r>
    <n v="234"/>
    <n v="3"/>
    <n v="3"/>
    <n v="4"/>
    <n v="401"/>
    <x v="0"/>
    <x v="0"/>
    <x v="0"/>
    <x v="34"/>
    <n v="1"/>
  </r>
  <r>
    <n v="235"/>
    <n v="3"/>
    <n v="3"/>
    <n v="4"/>
    <n v="402"/>
    <x v="1"/>
    <x v="0"/>
    <x v="1"/>
    <x v="33"/>
    <n v="1"/>
  </r>
  <r>
    <n v="236"/>
    <n v="3"/>
    <n v="3"/>
    <n v="4"/>
    <n v="403"/>
    <x v="2"/>
    <x v="0"/>
    <x v="0"/>
    <x v="32"/>
    <n v="1"/>
  </r>
  <r>
    <n v="237"/>
    <n v="3"/>
    <n v="3"/>
    <n v="5"/>
    <n v="501"/>
    <x v="0"/>
    <x v="0"/>
    <x v="0"/>
    <x v="34"/>
    <n v="1"/>
  </r>
  <r>
    <n v="238"/>
    <n v="3"/>
    <n v="3"/>
    <n v="5"/>
    <n v="502"/>
    <x v="1"/>
    <x v="0"/>
    <x v="1"/>
    <x v="33"/>
    <n v="1"/>
  </r>
  <r>
    <n v="239"/>
    <n v="3"/>
    <n v="3"/>
    <n v="5"/>
    <n v="503"/>
    <x v="2"/>
    <x v="0"/>
    <x v="0"/>
    <x v="32"/>
    <n v="1"/>
  </r>
  <r>
    <n v="240"/>
    <n v="3"/>
    <n v="3"/>
    <n v="6"/>
    <n v="601"/>
    <x v="0"/>
    <x v="0"/>
    <x v="0"/>
    <x v="34"/>
    <n v="1"/>
  </r>
  <r>
    <n v="241"/>
    <n v="3"/>
    <n v="3"/>
    <n v="6"/>
    <n v="602"/>
    <x v="1"/>
    <x v="0"/>
    <x v="1"/>
    <x v="33"/>
    <n v="1"/>
  </r>
  <r>
    <n v="242"/>
    <n v="3"/>
    <n v="3"/>
    <n v="6"/>
    <n v="603"/>
    <x v="2"/>
    <x v="0"/>
    <x v="0"/>
    <x v="32"/>
    <n v="1"/>
  </r>
  <r>
    <n v="243"/>
    <n v="3"/>
    <n v="4"/>
    <n v="2"/>
    <n v="201"/>
    <x v="3"/>
    <x v="0"/>
    <x v="0"/>
    <x v="32"/>
    <n v="1"/>
  </r>
  <r>
    <n v="244"/>
    <n v="3"/>
    <n v="4"/>
    <n v="2"/>
    <n v="202"/>
    <x v="4"/>
    <x v="0"/>
    <x v="1"/>
    <x v="33"/>
    <n v="1"/>
  </r>
  <r>
    <n v="245"/>
    <n v="3"/>
    <n v="4"/>
    <n v="2"/>
    <n v="203"/>
    <x v="5"/>
    <x v="0"/>
    <x v="0"/>
    <x v="34"/>
    <n v="1"/>
  </r>
  <r>
    <n v="246"/>
    <n v="3"/>
    <n v="4"/>
    <n v="3"/>
    <n v="301"/>
    <x v="3"/>
    <x v="0"/>
    <x v="0"/>
    <x v="32"/>
    <n v="1"/>
  </r>
  <r>
    <n v="247"/>
    <n v="3"/>
    <n v="4"/>
    <n v="3"/>
    <n v="302"/>
    <x v="4"/>
    <x v="0"/>
    <x v="1"/>
    <x v="33"/>
    <n v="1"/>
  </r>
  <r>
    <n v="248"/>
    <n v="3"/>
    <n v="4"/>
    <n v="3"/>
    <n v="303"/>
    <x v="5"/>
    <x v="0"/>
    <x v="0"/>
    <x v="34"/>
    <n v="1"/>
  </r>
  <r>
    <n v="249"/>
    <n v="3"/>
    <n v="4"/>
    <n v="4"/>
    <n v="401"/>
    <x v="3"/>
    <x v="0"/>
    <x v="0"/>
    <x v="32"/>
    <n v="1"/>
  </r>
  <r>
    <n v="250"/>
    <n v="3"/>
    <n v="4"/>
    <n v="4"/>
    <n v="402"/>
    <x v="4"/>
    <x v="0"/>
    <x v="1"/>
    <x v="33"/>
    <n v="1"/>
  </r>
  <r>
    <n v="251"/>
    <n v="3"/>
    <n v="4"/>
    <n v="4"/>
    <n v="403"/>
    <x v="5"/>
    <x v="0"/>
    <x v="0"/>
    <x v="34"/>
    <n v="1"/>
  </r>
  <r>
    <n v="252"/>
    <n v="3"/>
    <n v="4"/>
    <n v="5"/>
    <n v="501"/>
    <x v="3"/>
    <x v="0"/>
    <x v="0"/>
    <x v="32"/>
    <n v="1"/>
  </r>
  <r>
    <n v="253"/>
    <n v="3"/>
    <n v="4"/>
    <n v="5"/>
    <n v="502"/>
    <x v="4"/>
    <x v="0"/>
    <x v="1"/>
    <x v="33"/>
    <n v="1"/>
  </r>
  <r>
    <n v="254"/>
    <n v="3"/>
    <n v="4"/>
    <n v="5"/>
    <n v="503"/>
    <x v="5"/>
    <x v="0"/>
    <x v="0"/>
    <x v="34"/>
    <n v="1"/>
  </r>
  <r>
    <n v="255"/>
    <n v="3"/>
    <n v="4"/>
    <n v="6"/>
    <n v="601"/>
    <x v="3"/>
    <x v="0"/>
    <x v="0"/>
    <x v="32"/>
    <n v="1"/>
  </r>
  <r>
    <n v="256"/>
    <n v="3"/>
    <n v="4"/>
    <n v="6"/>
    <n v="602"/>
    <x v="4"/>
    <x v="0"/>
    <x v="1"/>
    <x v="33"/>
    <n v="1"/>
  </r>
  <r>
    <n v="257"/>
    <n v="3"/>
    <n v="4"/>
    <n v="6"/>
    <n v="603"/>
    <x v="5"/>
    <x v="0"/>
    <x v="0"/>
    <x v="34"/>
    <n v="1"/>
  </r>
  <r>
    <n v="258"/>
    <n v="3"/>
    <n v="5"/>
    <n v="2"/>
    <n v="201"/>
    <x v="0"/>
    <x v="0"/>
    <x v="0"/>
    <x v="34"/>
    <n v="1"/>
  </r>
  <r>
    <n v="259"/>
    <n v="3"/>
    <n v="5"/>
    <n v="2"/>
    <n v="202"/>
    <x v="1"/>
    <x v="0"/>
    <x v="1"/>
    <x v="33"/>
    <n v="1"/>
  </r>
  <r>
    <n v="260"/>
    <n v="3"/>
    <n v="5"/>
    <n v="2"/>
    <n v="203"/>
    <x v="2"/>
    <x v="0"/>
    <x v="0"/>
    <x v="32"/>
    <n v="1"/>
  </r>
  <r>
    <n v="261"/>
    <n v="3"/>
    <n v="5"/>
    <n v="3"/>
    <n v="301"/>
    <x v="0"/>
    <x v="0"/>
    <x v="0"/>
    <x v="34"/>
    <n v="1"/>
  </r>
  <r>
    <n v="262"/>
    <n v="3"/>
    <n v="5"/>
    <n v="3"/>
    <n v="302"/>
    <x v="1"/>
    <x v="0"/>
    <x v="1"/>
    <x v="33"/>
    <n v="1"/>
  </r>
  <r>
    <n v="263"/>
    <n v="3"/>
    <n v="5"/>
    <n v="3"/>
    <n v="303"/>
    <x v="2"/>
    <x v="0"/>
    <x v="0"/>
    <x v="32"/>
    <n v="1"/>
  </r>
  <r>
    <n v="264"/>
    <n v="3"/>
    <n v="5"/>
    <n v="4"/>
    <n v="401"/>
    <x v="0"/>
    <x v="0"/>
    <x v="0"/>
    <x v="34"/>
    <n v="1"/>
  </r>
  <r>
    <n v="265"/>
    <n v="3"/>
    <n v="5"/>
    <n v="4"/>
    <n v="402"/>
    <x v="1"/>
    <x v="0"/>
    <x v="1"/>
    <x v="33"/>
    <n v="1"/>
  </r>
  <r>
    <n v="266"/>
    <n v="3"/>
    <n v="5"/>
    <n v="4"/>
    <n v="403"/>
    <x v="2"/>
    <x v="0"/>
    <x v="0"/>
    <x v="32"/>
    <n v="1"/>
  </r>
  <r>
    <n v="267"/>
    <n v="3"/>
    <n v="5"/>
    <n v="5"/>
    <n v="501"/>
    <x v="0"/>
    <x v="0"/>
    <x v="0"/>
    <x v="34"/>
    <n v="1"/>
  </r>
  <r>
    <n v="268"/>
    <n v="3"/>
    <n v="5"/>
    <n v="5"/>
    <n v="502"/>
    <x v="1"/>
    <x v="0"/>
    <x v="1"/>
    <x v="33"/>
    <n v="1"/>
  </r>
  <r>
    <n v="269"/>
    <n v="3"/>
    <n v="5"/>
    <n v="5"/>
    <n v="503"/>
    <x v="2"/>
    <x v="0"/>
    <x v="0"/>
    <x v="32"/>
    <n v="1"/>
  </r>
  <r>
    <n v="270"/>
    <n v="3"/>
    <n v="5"/>
    <n v="6"/>
    <n v="601"/>
    <x v="0"/>
    <x v="0"/>
    <x v="0"/>
    <x v="34"/>
    <n v="1"/>
  </r>
  <r>
    <n v="271"/>
    <n v="3"/>
    <n v="5"/>
    <n v="6"/>
    <n v="602"/>
    <x v="1"/>
    <x v="0"/>
    <x v="1"/>
    <x v="33"/>
    <n v="1"/>
  </r>
  <r>
    <n v="272"/>
    <n v="3"/>
    <n v="5"/>
    <n v="6"/>
    <n v="603"/>
    <x v="2"/>
    <x v="0"/>
    <x v="0"/>
    <x v="32"/>
    <n v="1"/>
  </r>
  <r>
    <n v="273"/>
    <n v="3"/>
    <n v="6"/>
    <n v="2"/>
    <n v="201"/>
    <x v="28"/>
    <x v="0"/>
    <x v="0"/>
    <x v="35"/>
    <n v="1"/>
  </r>
  <r>
    <n v="274"/>
    <n v="3"/>
    <n v="6"/>
    <n v="2"/>
    <n v="202"/>
    <x v="29"/>
    <x v="2"/>
    <x v="2"/>
    <x v="36"/>
    <n v="1"/>
  </r>
  <r>
    <n v="275"/>
    <n v="3"/>
    <n v="6"/>
    <n v="2"/>
    <n v="203"/>
    <x v="30"/>
    <x v="2"/>
    <x v="4"/>
    <x v="37"/>
    <n v="1"/>
  </r>
  <r>
    <n v="276"/>
    <n v="3"/>
    <n v="6"/>
    <n v="2"/>
    <n v="204"/>
    <x v="31"/>
    <x v="2"/>
    <x v="3"/>
    <x v="38"/>
    <n v="1"/>
  </r>
  <r>
    <n v="277"/>
    <n v="3"/>
    <n v="6"/>
    <n v="3"/>
    <n v="301"/>
    <x v="28"/>
    <x v="0"/>
    <x v="0"/>
    <x v="35"/>
    <n v="1"/>
  </r>
  <r>
    <n v="278"/>
    <n v="3"/>
    <n v="6"/>
    <n v="3"/>
    <n v="302"/>
    <x v="29"/>
    <x v="2"/>
    <x v="2"/>
    <x v="36"/>
    <n v="1"/>
  </r>
  <r>
    <n v="279"/>
    <n v="3"/>
    <n v="6"/>
    <n v="3"/>
    <n v="303"/>
    <x v="30"/>
    <x v="2"/>
    <x v="4"/>
    <x v="37"/>
    <n v="1"/>
  </r>
  <r>
    <n v="280"/>
    <n v="3"/>
    <n v="6"/>
    <n v="3"/>
    <n v="304"/>
    <x v="31"/>
    <x v="2"/>
    <x v="3"/>
    <x v="38"/>
    <n v="1"/>
  </r>
  <r>
    <n v="281"/>
    <n v="3"/>
    <n v="6"/>
    <n v="4"/>
    <n v="401"/>
    <x v="28"/>
    <x v="0"/>
    <x v="0"/>
    <x v="35"/>
    <n v="1"/>
  </r>
  <r>
    <n v="282"/>
    <n v="3"/>
    <n v="6"/>
    <n v="4"/>
    <n v="402"/>
    <x v="29"/>
    <x v="2"/>
    <x v="2"/>
    <x v="36"/>
    <n v="1"/>
  </r>
  <r>
    <n v="283"/>
    <n v="3"/>
    <n v="6"/>
    <n v="4"/>
    <n v="403"/>
    <x v="30"/>
    <x v="2"/>
    <x v="4"/>
    <x v="37"/>
    <n v="1"/>
  </r>
  <r>
    <n v="284"/>
    <n v="3"/>
    <n v="6"/>
    <n v="4"/>
    <n v="404"/>
    <x v="31"/>
    <x v="2"/>
    <x v="3"/>
    <x v="38"/>
    <n v="1"/>
  </r>
  <r>
    <n v="285"/>
    <n v="3"/>
    <n v="6"/>
    <n v="5"/>
    <n v="501"/>
    <x v="28"/>
    <x v="0"/>
    <x v="0"/>
    <x v="35"/>
    <n v="1"/>
  </r>
  <r>
    <n v="286"/>
    <n v="3"/>
    <n v="6"/>
    <n v="5"/>
    <n v="502"/>
    <x v="29"/>
    <x v="2"/>
    <x v="2"/>
    <x v="36"/>
    <n v="1"/>
  </r>
  <r>
    <n v="287"/>
    <n v="3"/>
    <n v="6"/>
    <n v="5"/>
    <n v="503"/>
    <x v="30"/>
    <x v="2"/>
    <x v="4"/>
    <x v="37"/>
    <n v="1"/>
  </r>
  <r>
    <n v="288"/>
    <n v="3"/>
    <n v="6"/>
    <n v="5"/>
    <n v="504"/>
    <x v="31"/>
    <x v="2"/>
    <x v="3"/>
    <x v="38"/>
    <n v="1"/>
  </r>
  <r>
    <n v="289"/>
    <n v="3"/>
    <n v="6"/>
    <n v="6"/>
    <n v="601"/>
    <x v="28"/>
    <x v="0"/>
    <x v="0"/>
    <x v="35"/>
    <n v="1"/>
  </r>
  <r>
    <n v="290"/>
    <n v="3"/>
    <n v="6"/>
    <n v="6"/>
    <n v="602"/>
    <x v="29"/>
    <x v="2"/>
    <x v="2"/>
    <x v="36"/>
    <n v="1"/>
  </r>
  <r>
    <n v="291"/>
    <n v="3"/>
    <n v="6"/>
    <n v="6"/>
    <n v="603"/>
    <x v="30"/>
    <x v="2"/>
    <x v="4"/>
    <x v="37"/>
    <n v="1"/>
  </r>
  <r>
    <n v="292"/>
    <n v="3"/>
    <n v="6"/>
    <n v="6"/>
    <n v="604"/>
    <x v="31"/>
    <x v="2"/>
    <x v="3"/>
    <x v="38"/>
    <n v="1"/>
  </r>
  <r>
    <n v="293"/>
    <n v="3"/>
    <n v="7"/>
    <n v="2"/>
    <n v="201"/>
    <x v="15"/>
    <x v="0"/>
    <x v="3"/>
    <x v="39"/>
    <n v="1"/>
  </r>
  <r>
    <n v="294"/>
    <n v="3"/>
    <n v="7"/>
    <n v="2"/>
    <n v="202"/>
    <x v="7"/>
    <x v="0"/>
    <x v="4"/>
    <x v="31"/>
    <n v="1"/>
  </r>
  <r>
    <n v="295"/>
    <n v="3"/>
    <n v="7"/>
    <n v="2"/>
    <n v="203"/>
    <x v="16"/>
    <x v="0"/>
    <x v="1"/>
    <x v="40"/>
    <n v="1"/>
  </r>
  <r>
    <n v="296"/>
    <n v="3"/>
    <n v="7"/>
    <n v="3"/>
    <n v="301"/>
    <x v="15"/>
    <x v="0"/>
    <x v="3"/>
    <x v="39"/>
    <n v="1"/>
  </r>
  <r>
    <n v="297"/>
    <n v="3"/>
    <n v="7"/>
    <n v="3"/>
    <n v="302"/>
    <x v="7"/>
    <x v="0"/>
    <x v="4"/>
    <x v="31"/>
    <n v="1"/>
  </r>
  <r>
    <n v="298"/>
    <n v="3"/>
    <n v="7"/>
    <n v="3"/>
    <n v="303"/>
    <x v="16"/>
    <x v="0"/>
    <x v="1"/>
    <x v="40"/>
    <n v="1"/>
  </r>
  <r>
    <n v="299"/>
    <n v="3"/>
    <n v="7"/>
    <n v="4"/>
    <n v="401"/>
    <x v="15"/>
    <x v="0"/>
    <x v="3"/>
    <x v="39"/>
    <n v="1"/>
  </r>
  <r>
    <n v="300"/>
    <n v="3"/>
    <n v="7"/>
    <n v="4"/>
    <n v="402"/>
    <x v="7"/>
    <x v="0"/>
    <x v="4"/>
    <x v="31"/>
    <n v="1"/>
  </r>
  <r>
    <n v="301"/>
    <n v="3"/>
    <n v="7"/>
    <n v="4"/>
    <n v="403"/>
    <x v="16"/>
    <x v="0"/>
    <x v="1"/>
    <x v="40"/>
    <n v="1"/>
  </r>
  <r>
    <n v="302"/>
    <n v="3"/>
    <n v="7"/>
    <n v="5"/>
    <n v="501"/>
    <x v="15"/>
    <x v="0"/>
    <x v="3"/>
    <x v="39"/>
    <n v="1"/>
  </r>
  <r>
    <n v="303"/>
    <n v="3"/>
    <n v="7"/>
    <n v="5"/>
    <n v="502"/>
    <x v="7"/>
    <x v="0"/>
    <x v="4"/>
    <x v="31"/>
    <n v="1"/>
  </r>
  <r>
    <n v="304"/>
    <n v="3"/>
    <n v="7"/>
    <n v="5"/>
    <n v="503"/>
    <x v="16"/>
    <x v="0"/>
    <x v="1"/>
    <x v="40"/>
    <n v="1"/>
  </r>
  <r>
    <n v="305"/>
    <n v="3"/>
    <n v="7"/>
    <n v="6"/>
    <n v="601"/>
    <x v="15"/>
    <x v="0"/>
    <x v="3"/>
    <x v="39"/>
    <n v="1"/>
  </r>
  <r>
    <n v="306"/>
    <n v="3"/>
    <n v="7"/>
    <n v="6"/>
    <n v="602"/>
    <x v="7"/>
    <x v="0"/>
    <x v="4"/>
    <x v="31"/>
    <n v="1"/>
  </r>
  <r>
    <n v="307"/>
    <n v="3"/>
    <n v="7"/>
    <n v="6"/>
    <n v="603"/>
    <x v="16"/>
    <x v="0"/>
    <x v="1"/>
    <x v="40"/>
    <n v="1"/>
  </r>
  <r>
    <n v="308"/>
    <n v="6"/>
    <n v="1"/>
    <n v="1"/>
    <n v="101"/>
    <x v="23"/>
    <x v="2"/>
    <x v="0"/>
    <x v="41"/>
    <n v="1"/>
  </r>
  <r>
    <n v="309"/>
    <n v="6"/>
    <n v="1"/>
    <n v="1"/>
    <n v="102"/>
    <x v="7"/>
    <x v="0"/>
    <x v="1"/>
    <x v="42"/>
    <n v="1"/>
  </r>
  <r>
    <n v="310"/>
    <n v="6"/>
    <n v="1"/>
    <n v="1"/>
    <n v="103"/>
    <x v="15"/>
    <x v="0"/>
    <x v="0"/>
    <x v="43"/>
    <n v="1"/>
  </r>
  <r>
    <n v="311"/>
    <n v="6"/>
    <n v="1"/>
    <n v="2"/>
    <n v="201"/>
    <x v="6"/>
    <x v="0"/>
    <x v="0"/>
    <x v="44"/>
    <n v="1"/>
  </r>
  <r>
    <n v="312"/>
    <n v="6"/>
    <n v="1"/>
    <n v="2"/>
    <n v="202"/>
    <x v="7"/>
    <x v="0"/>
    <x v="1"/>
    <x v="42"/>
    <n v="1"/>
  </r>
  <r>
    <n v="313"/>
    <n v="6"/>
    <n v="1"/>
    <n v="2"/>
    <n v="203"/>
    <x v="15"/>
    <x v="0"/>
    <x v="0"/>
    <x v="43"/>
    <n v="1"/>
  </r>
  <r>
    <n v="314"/>
    <n v="6"/>
    <n v="1"/>
    <n v="3"/>
    <n v="301"/>
    <x v="6"/>
    <x v="0"/>
    <x v="0"/>
    <x v="44"/>
    <n v="1"/>
  </r>
  <r>
    <n v="315"/>
    <n v="6"/>
    <n v="1"/>
    <n v="3"/>
    <n v="302"/>
    <x v="7"/>
    <x v="0"/>
    <x v="1"/>
    <x v="42"/>
    <n v="1"/>
  </r>
  <r>
    <n v="316"/>
    <n v="6"/>
    <n v="1"/>
    <n v="3"/>
    <n v="303"/>
    <x v="15"/>
    <x v="0"/>
    <x v="0"/>
    <x v="43"/>
    <n v="1"/>
  </r>
  <r>
    <n v="317"/>
    <n v="6"/>
    <n v="1"/>
    <n v="4"/>
    <n v="401"/>
    <x v="6"/>
    <x v="0"/>
    <x v="0"/>
    <x v="44"/>
    <n v="1"/>
  </r>
  <r>
    <n v="318"/>
    <n v="6"/>
    <n v="1"/>
    <n v="4"/>
    <n v="402"/>
    <x v="7"/>
    <x v="0"/>
    <x v="1"/>
    <x v="42"/>
    <n v="1"/>
  </r>
  <r>
    <n v="319"/>
    <n v="6"/>
    <n v="1"/>
    <n v="4"/>
    <n v="403"/>
    <x v="15"/>
    <x v="0"/>
    <x v="0"/>
    <x v="43"/>
    <n v="1"/>
  </r>
  <r>
    <n v="320"/>
    <n v="6"/>
    <n v="1"/>
    <n v="5"/>
    <n v="501"/>
    <x v="6"/>
    <x v="0"/>
    <x v="0"/>
    <x v="44"/>
    <n v="1"/>
  </r>
  <r>
    <n v="321"/>
    <n v="6"/>
    <n v="1"/>
    <n v="5"/>
    <n v="502"/>
    <x v="7"/>
    <x v="0"/>
    <x v="1"/>
    <x v="42"/>
    <n v="1"/>
  </r>
  <r>
    <n v="322"/>
    <n v="6"/>
    <n v="1"/>
    <n v="5"/>
    <n v="503"/>
    <x v="15"/>
    <x v="0"/>
    <x v="0"/>
    <x v="43"/>
    <n v="1"/>
  </r>
  <r>
    <n v="323"/>
    <n v="6"/>
    <n v="1"/>
    <n v="6"/>
    <n v="601"/>
    <x v="6"/>
    <x v="0"/>
    <x v="0"/>
    <x v="44"/>
    <n v="1"/>
  </r>
  <r>
    <n v="324"/>
    <n v="6"/>
    <n v="1"/>
    <n v="6"/>
    <n v="602"/>
    <x v="7"/>
    <x v="0"/>
    <x v="1"/>
    <x v="42"/>
    <n v="1"/>
  </r>
  <r>
    <n v="325"/>
    <n v="6"/>
    <n v="1"/>
    <n v="6"/>
    <n v="603"/>
    <x v="15"/>
    <x v="0"/>
    <x v="0"/>
    <x v="43"/>
    <n v="1"/>
  </r>
  <r>
    <n v="326"/>
    <n v="6"/>
    <n v="2"/>
    <n v="1"/>
    <n v="101"/>
    <x v="14"/>
    <x v="0"/>
    <x v="0"/>
    <x v="43"/>
    <n v="1"/>
  </r>
  <r>
    <n v="327"/>
    <n v="6"/>
    <n v="2"/>
    <n v="1"/>
    <n v="102"/>
    <x v="13"/>
    <x v="0"/>
    <x v="1"/>
    <x v="42"/>
    <n v="1"/>
  </r>
  <r>
    <n v="328"/>
    <n v="6"/>
    <n v="2"/>
    <n v="1"/>
    <n v="103"/>
    <x v="24"/>
    <x v="2"/>
    <x v="0"/>
    <x v="45"/>
    <n v="1"/>
  </r>
  <r>
    <n v="329"/>
    <n v="6"/>
    <n v="2"/>
    <n v="2"/>
    <n v="201"/>
    <x v="14"/>
    <x v="0"/>
    <x v="0"/>
    <x v="43"/>
    <n v="1"/>
  </r>
  <r>
    <n v="330"/>
    <n v="6"/>
    <n v="2"/>
    <n v="2"/>
    <n v="202"/>
    <x v="13"/>
    <x v="0"/>
    <x v="1"/>
    <x v="42"/>
    <n v="1"/>
  </r>
  <r>
    <n v="331"/>
    <n v="6"/>
    <n v="2"/>
    <n v="2"/>
    <n v="203"/>
    <x v="25"/>
    <x v="0"/>
    <x v="0"/>
    <x v="46"/>
    <n v="1"/>
  </r>
  <r>
    <n v="332"/>
    <n v="6"/>
    <n v="2"/>
    <n v="3"/>
    <n v="301"/>
    <x v="14"/>
    <x v="0"/>
    <x v="0"/>
    <x v="43"/>
    <n v="1"/>
  </r>
  <r>
    <n v="333"/>
    <n v="6"/>
    <n v="2"/>
    <n v="3"/>
    <n v="302"/>
    <x v="13"/>
    <x v="0"/>
    <x v="1"/>
    <x v="42"/>
    <n v="1"/>
  </r>
  <r>
    <n v="334"/>
    <n v="6"/>
    <n v="2"/>
    <n v="3"/>
    <n v="303"/>
    <x v="25"/>
    <x v="0"/>
    <x v="0"/>
    <x v="46"/>
    <n v="1"/>
  </r>
  <r>
    <n v="335"/>
    <n v="6"/>
    <n v="2"/>
    <n v="4"/>
    <n v="401"/>
    <x v="14"/>
    <x v="0"/>
    <x v="0"/>
    <x v="43"/>
    <n v="1"/>
  </r>
  <r>
    <n v="336"/>
    <n v="6"/>
    <n v="2"/>
    <n v="4"/>
    <n v="402"/>
    <x v="13"/>
    <x v="0"/>
    <x v="1"/>
    <x v="42"/>
    <n v="1"/>
  </r>
  <r>
    <n v="337"/>
    <n v="6"/>
    <n v="2"/>
    <n v="4"/>
    <n v="403"/>
    <x v="25"/>
    <x v="0"/>
    <x v="0"/>
    <x v="46"/>
    <n v="1"/>
  </r>
  <r>
    <n v="338"/>
    <n v="6"/>
    <n v="2"/>
    <n v="5"/>
    <n v="501"/>
    <x v="14"/>
    <x v="0"/>
    <x v="0"/>
    <x v="43"/>
    <n v="1"/>
  </r>
  <r>
    <n v="339"/>
    <n v="6"/>
    <n v="2"/>
    <n v="5"/>
    <n v="502"/>
    <x v="13"/>
    <x v="0"/>
    <x v="1"/>
    <x v="42"/>
    <n v="1"/>
  </r>
  <r>
    <n v="340"/>
    <n v="6"/>
    <n v="2"/>
    <n v="5"/>
    <n v="503"/>
    <x v="25"/>
    <x v="0"/>
    <x v="0"/>
    <x v="46"/>
    <n v="1"/>
  </r>
  <r>
    <n v="341"/>
    <n v="6"/>
    <n v="2"/>
    <n v="6"/>
    <n v="601"/>
    <x v="14"/>
    <x v="0"/>
    <x v="0"/>
    <x v="43"/>
    <n v="1"/>
  </r>
  <r>
    <n v="342"/>
    <n v="6"/>
    <n v="2"/>
    <n v="6"/>
    <n v="602"/>
    <x v="13"/>
    <x v="0"/>
    <x v="1"/>
    <x v="42"/>
    <n v="1"/>
  </r>
  <r>
    <n v="343"/>
    <n v="6"/>
    <n v="2"/>
    <n v="6"/>
    <n v="603"/>
    <x v="25"/>
    <x v="0"/>
    <x v="0"/>
    <x v="46"/>
    <n v="1"/>
  </r>
  <r>
    <n v="344"/>
    <n v="6"/>
    <n v="3"/>
    <n v="1"/>
    <n v="101"/>
    <x v="23"/>
    <x v="2"/>
    <x v="0"/>
    <x v="45"/>
    <n v="1"/>
  </r>
  <r>
    <n v="345"/>
    <n v="6"/>
    <n v="3"/>
    <n v="1"/>
    <n v="102"/>
    <x v="7"/>
    <x v="0"/>
    <x v="1"/>
    <x v="42"/>
    <n v="1"/>
  </r>
  <r>
    <n v="346"/>
    <n v="6"/>
    <n v="3"/>
    <n v="1"/>
    <n v="103"/>
    <x v="15"/>
    <x v="0"/>
    <x v="0"/>
    <x v="43"/>
    <n v="1"/>
  </r>
  <r>
    <n v="347"/>
    <n v="6"/>
    <n v="3"/>
    <n v="2"/>
    <n v="201"/>
    <x v="6"/>
    <x v="0"/>
    <x v="0"/>
    <x v="46"/>
    <n v="1"/>
  </r>
  <r>
    <n v="348"/>
    <n v="6"/>
    <n v="3"/>
    <n v="2"/>
    <n v="202"/>
    <x v="7"/>
    <x v="0"/>
    <x v="1"/>
    <x v="42"/>
    <n v="1"/>
  </r>
  <r>
    <n v="349"/>
    <n v="6"/>
    <n v="3"/>
    <n v="2"/>
    <n v="203"/>
    <x v="15"/>
    <x v="0"/>
    <x v="0"/>
    <x v="43"/>
    <n v="1"/>
  </r>
  <r>
    <n v="350"/>
    <n v="6"/>
    <n v="3"/>
    <n v="3"/>
    <n v="301"/>
    <x v="6"/>
    <x v="0"/>
    <x v="0"/>
    <x v="46"/>
    <n v="1"/>
  </r>
  <r>
    <n v="351"/>
    <n v="6"/>
    <n v="3"/>
    <n v="3"/>
    <n v="302"/>
    <x v="7"/>
    <x v="0"/>
    <x v="1"/>
    <x v="42"/>
    <n v="1"/>
  </r>
  <r>
    <n v="352"/>
    <n v="6"/>
    <n v="3"/>
    <n v="3"/>
    <n v="303"/>
    <x v="15"/>
    <x v="0"/>
    <x v="0"/>
    <x v="43"/>
    <n v="1"/>
  </r>
  <r>
    <n v="353"/>
    <n v="6"/>
    <n v="3"/>
    <n v="4"/>
    <n v="401"/>
    <x v="6"/>
    <x v="0"/>
    <x v="0"/>
    <x v="46"/>
    <n v="1"/>
  </r>
  <r>
    <n v="354"/>
    <n v="6"/>
    <n v="3"/>
    <n v="4"/>
    <n v="402"/>
    <x v="7"/>
    <x v="0"/>
    <x v="1"/>
    <x v="42"/>
    <n v="1"/>
  </r>
  <r>
    <n v="355"/>
    <n v="6"/>
    <n v="3"/>
    <n v="4"/>
    <n v="403"/>
    <x v="15"/>
    <x v="0"/>
    <x v="0"/>
    <x v="43"/>
    <n v="1"/>
  </r>
  <r>
    <n v="356"/>
    <n v="6"/>
    <n v="3"/>
    <n v="5"/>
    <n v="501"/>
    <x v="6"/>
    <x v="0"/>
    <x v="0"/>
    <x v="46"/>
    <n v="1"/>
  </r>
  <r>
    <n v="357"/>
    <n v="6"/>
    <n v="3"/>
    <n v="5"/>
    <n v="502"/>
    <x v="7"/>
    <x v="0"/>
    <x v="1"/>
    <x v="42"/>
    <n v="1"/>
  </r>
  <r>
    <n v="358"/>
    <n v="6"/>
    <n v="3"/>
    <n v="5"/>
    <n v="503"/>
    <x v="15"/>
    <x v="0"/>
    <x v="0"/>
    <x v="43"/>
    <n v="1"/>
  </r>
  <r>
    <n v="359"/>
    <n v="6"/>
    <n v="3"/>
    <n v="6"/>
    <n v="601"/>
    <x v="6"/>
    <x v="0"/>
    <x v="0"/>
    <x v="46"/>
    <n v="1"/>
  </r>
  <r>
    <n v="360"/>
    <n v="6"/>
    <n v="3"/>
    <n v="6"/>
    <n v="602"/>
    <x v="7"/>
    <x v="0"/>
    <x v="1"/>
    <x v="42"/>
    <n v="1"/>
  </r>
  <r>
    <n v="361"/>
    <n v="6"/>
    <n v="3"/>
    <n v="6"/>
    <n v="603"/>
    <x v="15"/>
    <x v="0"/>
    <x v="0"/>
    <x v="43"/>
    <n v="1"/>
  </r>
  <r>
    <n v="362"/>
    <n v="6"/>
    <n v="4"/>
    <n v="1"/>
    <n v="101"/>
    <x v="14"/>
    <x v="0"/>
    <x v="0"/>
    <x v="43"/>
    <n v="1"/>
  </r>
  <r>
    <n v="363"/>
    <n v="6"/>
    <n v="4"/>
    <n v="1"/>
    <n v="102"/>
    <x v="13"/>
    <x v="0"/>
    <x v="1"/>
    <x v="42"/>
    <n v="1"/>
  </r>
  <r>
    <n v="364"/>
    <n v="6"/>
    <n v="4"/>
    <n v="1"/>
    <n v="103"/>
    <x v="24"/>
    <x v="2"/>
    <x v="0"/>
    <x v="45"/>
    <n v="1"/>
  </r>
  <r>
    <n v="365"/>
    <n v="6"/>
    <n v="4"/>
    <n v="2"/>
    <n v="201"/>
    <x v="14"/>
    <x v="0"/>
    <x v="0"/>
    <x v="43"/>
    <n v="1"/>
  </r>
  <r>
    <n v="366"/>
    <n v="6"/>
    <n v="4"/>
    <n v="2"/>
    <n v="202"/>
    <x v="13"/>
    <x v="0"/>
    <x v="1"/>
    <x v="42"/>
    <n v="1"/>
  </r>
  <r>
    <n v="367"/>
    <n v="6"/>
    <n v="4"/>
    <n v="2"/>
    <n v="203"/>
    <x v="25"/>
    <x v="0"/>
    <x v="0"/>
    <x v="46"/>
    <n v="1"/>
  </r>
  <r>
    <n v="368"/>
    <n v="6"/>
    <n v="4"/>
    <n v="3"/>
    <n v="301"/>
    <x v="14"/>
    <x v="0"/>
    <x v="0"/>
    <x v="43"/>
    <n v="1"/>
  </r>
  <r>
    <n v="369"/>
    <n v="6"/>
    <n v="4"/>
    <n v="3"/>
    <n v="302"/>
    <x v="13"/>
    <x v="0"/>
    <x v="1"/>
    <x v="42"/>
    <n v="1"/>
  </r>
  <r>
    <n v="370"/>
    <n v="6"/>
    <n v="4"/>
    <n v="3"/>
    <n v="303"/>
    <x v="25"/>
    <x v="0"/>
    <x v="0"/>
    <x v="46"/>
    <n v="1"/>
  </r>
  <r>
    <n v="371"/>
    <n v="6"/>
    <n v="4"/>
    <n v="4"/>
    <n v="401"/>
    <x v="14"/>
    <x v="0"/>
    <x v="0"/>
    <x v="43"/>
    <n v="1"/>
  </r>
  <r>
    <n v="372"/>
    <n v="6"/>
    <n v="4"/>
    <n v="4"/>
    <n v="402"/>
    <x v="13"/>
    <x v="0"/>
    <x v="1"/>
    <x v="42"/>
    <n v="1"/>
  </r>
  <r>
    <n v="373"/>
    <n v="6"/>
    <n v="4"/>
    <n v="4"/>
    <n v="403"/>
    <x v="25"/>
    <x v="0"/>
    <x v="0"/>
    <x v="46"/>
    <n v="1"/>
  </r>
  <r>
    <n v="374"/>
    <n v="6"/>
    <n v="4"/>
    <n v="5"/>
    <n v="501"/>
    <x v="14"/>
    <x v="0"/>
    <x v="0"/>
    <x v="43"/>
    <n v="1"/>
  </r>
  <r>
    <n v="375"/>
    <n v="6"/>
    <n v="4"/>
    <n v="5"/>
    <n v="502"/>
    <x v="13"/>
    <x v="0"/>
    <x v="1"/>
    <x v="42"/>
    <n v="1"/>
  </r>
  <r>
    <n v="376"/>
    <n v="6"/>
    <n v="4"/>
    <n v="5"/>
    <n v="503"/>
    <x v="25"/>
    <x v="0"/>
    <x v="0"/>
    <x v="46"/>
    <n v="1"/>
  </r>
  <r>
    <n v="377"/>
    <n v="6"/>
    <n v="4"/>
    <n v="6"/>
    <n v="601"/>
    <x v="14"/>
    <x v="0"/>
    <x v="0"/>
    <x v="43"/>
    <n v="1"/>
  </r>
  <r>
    <n v="378"/>
    <n v="6"/>
    <n v="4"/>
    <n v="6"/>
    <n v="602"/>
    <x v="13"/>
    <x v="0"/>
    <x v="1"/>
    <x v="42"/>
    <n v="1"/>
  </r>
  <r>
    <n v="379"/>
    <n v="6"/>
    <n v="4"/>
    <n v="6"/>
    <n v="603"/>
    <x v="25"/>
    <x v="0"/>
    <x v="0"/>
    <x v="46"/>
    <n v="1"/>
  </r>
  <r>
    <n v="380"/>
    <n v="6"/>
    <n v="5"/>
    <n v="1"/>
    <n v="101"/>
    <x v="23"/>
    <x v="2"/>
    <x v="0"/>
    <x v="45"/>
    <n v="1"/>
  </r>
  <r>
    <n v="381"/>
    <n v="6"/>
    <n v="5"/>
    <n v="1"/>
    <n v="102"/>
    <x v="7"/>
    <x v="0"/>
    <x v="1"/>
    <x v="42"/>
    <n v="1"/>
  </r>
  <r>
    <n v="382"/>
    <n v="6"/>
    <n v="5"/>
    <n v="1"/>
    <n v="103"/>
    <x v="15"/>
    <x v="0"/>
    <x v="0"/>
    <x v="47"/>
    <n v="1"/>
  </r>
  <r>
    <n v="383"/>
    <n v="6"/>
    <n v="5"/>
    <n v="2"/>
    <n v="201"/>
    <x v="6"/>
    <x v="0"/>
    <x v="0"/>
    <x v="46"/>
    <n v="1"/>
  </r>
  <r>
    <n v="384"/>
    <n v="6"/>
    <n v="5"/>
    <n v="2"/>
    <n v="202"/>
    <x v="7"/>
    <x v="0"/>
    <x v="1"/>
    <x v="42"/>
    <n v="1"/>
  </r>
  <r>
    <n v="385"/>
    <n v="6"/>
    <n v="5"/>
    <n v="2"/>
    <n v="203"/>
    <x v="15"/>
    <x v="0"/>
    <x v="0"/>
    <x v="47"/>
    <n v="1"/>
  </r>
  <r>
    <n v="386"/>
    <n v="6"/>
    <n v="5"/>
    <n v="3"/>
    <n v="301"/>
    <x v="6"/>
    <x v="0"/>
    <x v="0"/>
    <x v="46"/>
    <n v="1"/>
  </r>
  <r>
    <n v="387"/>
    <n v="6"/>
    <n v="5"/>
    <n v="3"/>
    <n v="302"/>
    <x v="7"/>
    <x v="0"/>
    <x v="1"/>
    <x v="42"/>
    <n v="1"/>
  </r>
  <r>
    <n v="388"/>
    <n v="6"/>
    <n v="5"/>
    <n v="3"/>
    <n v="303"/>
    <x v="15"/>
    <x v="0"/>
    <x v="0"/>
    <x v="47"/>
    <n v="1"/>
  </r>
  <r>
    <n v="389"/>
    <n v="6"/>
    <n v="5"/>
    <n v="4"/>
    <n v="401"/>
    <x v="6"/>
    <x v="0"/>
    <x v="0"/>
    <x v="46"/>
    <n v="1"/>
  </r>
  <r>
    <n v="390"/>
    <n v="6"/>
    <n v="5"/>
    <n v="4"/>
    <n v="402"/>
    <x v="7"/>
    <x v="0"/>
    <x v="1"/>
    <x v="42"/>
    <n v="1"/>
  </r>
  <r>
    <n v="391"/>
    <n v="6"/>
    <n v="5"/>
    <n v="4"/>
    <n v="403"/>
    <x v="15"/>
    <x v="0"/>
    <x v="0"/>
    <x v="47"/>
    <n v="1"/>
  </r>
  <r>
    <n v="392"/>
    <n v="6"/>
    <n v="5"/>
    <n v="5"/>
    <n v="501"/>
    <x v="6"/>
    <x v="0"/>
    <x v="0"/>
    <x v="46"/>
    <n v="1"/>
  </r>
  <r>
    <n v="393"/>
    <n v="6"/>
    <n v="5"/>
    <n v="5"/>
    <n v="502"/>
    <x v="7"/>
    <x v="0"/>
    <x v="1"/>
    <x v="42"/>
    <n v="1"/>
  </r>
  <r>
    <n v="394"/>
    <n v="6"/>
    <n v="5"/>
    <n v="5"/>
    <n v="503"/>
    <x v="15"/>
    <x v="0"/>
    <x v="0"/>
    <x v="47"/>
    <n v="1"/>
  </r>
  <r>
    <n v="395"/>
    <n v="6"/>
    <n v="5"/>
    <n v="6"/>
    <n v="601"/>
    <x v="6"/>
    <x v="0"/>
    <x v="0"/>
    <x v="46"/>
    <n v="1"/>
  </r>
  <r>
    <n v="396"/>
    <n v="6"/>
    <n v="5"/>
    <n v="6"/>
    <n v="602"/>
    <x v="7"/>
    <x v="0"/>
    <x v="1"/>
    <x v="42"/>
    <n v="1"/>
  </r>
  <r>
    <n v="397"/>
    <n v="6"/>
    <n v="5"/>
    <n v="6"/>
    <n v="603"/>
    <x v="15"/>
    <x v="0"/>
    <x v="0"/>
    <x v="47"/>
    <n v="1"/>
  </r>
  <r>
    <n v="398"/>
    <n v="2"/>
    <n v="1"/>
    <n v="1"/>
    <n v="101"/>
    <x v="14"/>
    <x v="0"/>
    <x v="3"/>
    <x v="48"/>
    <n v="1"/>
  </r>
  <r>
    <n v="399"/>
    <n v="2"/>
    <n v="1"/>
    <n v="1"/>
    <n v="102"/>
    <x v="13"/>
    <x v="0"/>
    <x v="5"/>
    <x v="49"/>
    <n v="1"/>
  </r>
  <r>
    <n v="400"/>
    <n v="2"/>
    <n v="1"/>
    <n v="1"/>
    <n v="103"/>
    <x v="32"/>
    <x v="2"/>
    <x v="1"/>
    <x v="50"/>
    <n v="1"/>
  </r>
  <r>
    <n v="401"/>
    <n v="2"/>
    <n v="1"/>
    <n v="2"/>
    <n v="201"/>
    <x v="14"/>
    <x v="0"/>
    <x v="3"/>
    <x v="48"/>
    <n v="1"/>
  </r>
  <r>
    <n v="402"/>
    <n v="2"/>
    <n v="1"/>
    <n v="2"/>
    <n v="202"/>
    <x v="13"/>
    <x v="0"/>
    <x v="5"/>
    <x v="49"/>
    <n v="1"/>
  </r>
  <r>
    <n v="403"/>
    <n v="2"/>
    <n v="1"/>
    <n v="2"/>
    <n v="203"/>
    <x v="33"/>
    <x v="0"/>
    <x v="1"/>
    <x v="51"/>
    <n v="1"/>
  </r>
  <r>
    <n v="404"/>
    <n v="2"/>
    <n v="1"/>
    <n v="3"/>
    <n v="301"/>
    <x v="14"/>
    <x v="0"/>
    <x v="3"/>
    <x v="48"/>
    <n v="1"/>
  </r>
  <r>
    <n v="405"/>
    <n v="2"/>
    <n v="1"/>
    <n v="3"/>
    <n v="302"/>
    <x v="13"/>
    <x v="0"/>
    <x v="5"/>
    <x v="49"/>
    <n v="1"/>
  </r>
  <r>
    <n v="406"/>
    <n v="2"/>
    <n v="1"/>
    <n v="3"/>
    <n v="303"/>
    <x v="33"/>
    <x v="0"/>
    <x v="1"/>
    <x v="51"/>
    <n v="1"/>
  </r>
  <r>
    <n v="407"/>
    <n v="2"/>
    <n v="1"/>
    <n v="4"/>
    <n v="401"/>
    <x v="14"/>
    <x v="0"/>
    <x v="3"/>
    <x v="48"/>
    <n v="1"/>
  </r>
  <r>
    <n v="408"/>
    <n v="2"/>
    <n v="1"/>
    <n v="4"/>
    <n v="402"/>
    <x v="13"/>
    <x v="0"/>
    <x v="5"/>
    <x v="49"/>
    <n v="1"/>
  </r>
  <r>
    <n v="409"/>
    <n v="2"/>
    <n v="1"/>
    <n v="4"/>
    <n v="403"/>
    <x v="33"/>
    <x v="0"/>
    <x v="1"/>
    <x v="51"/>
    <n v="1"/>
  </r>
  <r>
    <n v="410"/>
    <n v="2"/>
    <n v="1"/>
    <n v="5"/>
    <n v="501"/>
    <x v="14"/>
    <x v="0"/>
    <x v="3"/>
    <x v="48"/>
    <n v="1"/>
  </r>
  <r>
    <n v="411"/>
    <n v="2"/>
    <n v="1"/>
    <n v="5"/>
    <n v="502"/>
    <x v="13"/>
    <x v="0"/>
    <x v="5"/>
    <x v="49"/>
    <n v="1"/>
  </r>
  <r>
    <n v="412"/>
    <n v="2"/>
    <n v="1"/>
    <n v="5"/>
    <n v="503"/>
    <x v="33"/>
    <x v="0"/>
    <x v="1"/>
    <x v="51"/>
    <n v="1"/>
  </r>
  <r>
    <n v="413"/>
    <n v="2"/>
    <n v="1"/>
    <n v="6"/>
    <n v="601"/>
    <x v="14"/>
    <x v="0"/>
    <x v="3"/>
    <x v="48"/>
    <n v="1"/>
  </r>
  <r>
    <n v="414"/>
    <n v="2"/>
    <n v="1"/>
    <n v="6"/>
    <n v="602"/>
    <x v="13"/>
    <x v="0"/>
    <x v="5"/>
    <x v="49"/>
    <n v="1"/>
  </r>
  <r>
    <n v="415"/>
    <n v="2"/>
    <n v="1"/>
    <n v="6"/>
    <n v="603"/>
    <x v="33"/>
    <x v="0"/>
    <x v="1"/>
    <x v="51"/>
    <n v="1"/>
  </r>
  <r>
    <n v="416"/>
    <n v="2"/>
    <n v="2"/>
    <n v="2"/>
    <n v="201"/>
    <x v="34"/>
    <x v="0"/>
    <x v="0"/>
    <x v="52"/>
    <n v="1"/>
  </r>
  <r>
    <n v="417"/>
    <n v="2"/>
    <n v="2"/>
    <n v="2"/>
    <n v="202"/>
    <x v="35"/>
    <x v="0"/>
    <x v="6"/>
    <x v="53"/>
    <n v="1"/>
  </r>
  <r>
    <n v="418"/>
    <n v="2"/>
    <n v="2"/>
    <n v="2"/>
    <n v="203"/>
    <x v="36"/>
    <x v="1"/>
    <x v="3"/>
    <x v="54"/>
    <n v="1"/>
  </r>
  <r>
    <n v="419"/>
    <n v="2"/>
    <n v="2"/>
    <n v="3"/>
    <n v="301"/>
    <x v="34"/>
    <x v="0"/>
    <x v="0"/>
    <x v="52"/>
    <n v="1"/>
  </r>
  <r>
    <n v="420"/>
    <n v="2"/>
    <n v="2"/>
    <n v="3"/>
    <n v="302"/>
    <x v="35"/>
    <x v="0"/>
    <x v="6"/>
    <x v="53"/>
    <n v="1"/>
  </r>
  <r>
    <n v="421"/>
    <n v="2"/>
    <n v="2"/>
    <n v="3"/>
    <n v="303"/>
    <x v="36"/>
    <x v="1"/>
    <x v="3"/>
    <x v="54"/>
    <n v="1"/>
  </r>
  <r>
    <n v="422"/>
    <n v="2"/>
    <n v="2"/>
    <n v="4"/>
    <n v="401"/>
    <x v="34"/>
    <x v="0"/>
    <x v="0"/>
    <x v="52"/>
    <n v="1"/>
  </r>
  <r>
    <n v="423"/>
    <n v="2"/>
    <n v="2"/>
    <n v="4"/>
    <n v="402"/>
    <x v="35"/>
    <x v="0"/>
    <x v="6"/>
    <x v="53"/>
    <n v="1"/>
  </r>
  <r>
    <n v="424"/>
    <n v="2"/>
    <n v="2"/>
    <n v="4"/>
    <n v="403"/>
    <x v="36"/>
    <x v="1"/>
    <x v="3"/>
    <x v="54"/>
    <n v="1"/>
  </r>
  <r>
    <n v="425"/>
    <n v="2"/>
    <n v="2"/>
    <n v="5"/>
    <n v="501"/>
    <x v="34"/>
    <x v="0"/>
    <x v="0"/>
    <x v="52"/>
    <n v="1"/>
  </r>
  <r>
    <n v="426"/>
    <n v="2"/>
    <n v="2"/>
    <n v="5"/>
    <n v="502"/>
    <x v="35"/>
    <x v="0"/>
    <x v="6"/>
    <x v="53"/>
    <n v="1"/>
  </r>
  <r>
    <n v="427"/>
    <n v="2"/>
    <n v="2"/>
    <n v="5"/>
    <n v="503"/>
    <x v="36"/>
    <x v="1"/>
    <x v="3"/>
    <x v="54"/>
    <n v="1"/>
  </r>
  <r>
    <n v="428"/>
    <n v="2"/>
    <n v="2"/>
    <n v="6"/>
    <n v="601"/>
    <x v="34"/>
    <x v="0"/>
    <x v="0"/>
    <x v="52"/>
    <n v="1"/>
  </r>
  <r>
    <n v="429"/>
    <n v="2"/>
    <n v="2"/>
    <n v="6"/>
    <n v="602"/>
    <x v="35"/>
    <x v="0"/>
    <x v="6"/>
    <x v="53"/>
    <n v="1"/>
  </r>
  <r>
    <n v="430"/>
    <n v="2"/>
    <n v="2"/>
    <n v="6"/>
    <n v="603"/>
    <x v="36"/>
    <x v="1"/>
    <x v="3"/>
    <x v="54"/>
    <n v="1"/>
  </r>
  <r>
    <n v="431"/>
    <n v="2"/>
    <n v="3"/>
    <n v="2"/>
    <n v="201"/>
    <x v="37"/>
    <x v="0"/>
    <x v="0"/>
    <x v="55"/>
    <n v="1"/>
  </r>
  <r>
    <n v="432"/>
    <n v="2"/>
    <n v="3"/>
    <n v="2"/>
    <n v="202"/>
    <x v="7"/>
    <x v="0"/>
    <x v="1"/>
    <x v="49"/>
    <n v="1"/>
  </r>
  <r>
    <n v="433"/>
    <n v="2"/>
    <n v="3"/>
    <n v="2"/>
    <n v="203"/>
    <x v="15"/>
    <x v="0"/>
    <x v="0"/>
    <x v="56"/>
    <n v="1"/>
  </r>
  <r>
    <n v="434"/>
    <n v="2"/>
    <n v="3"/>
    <n v="3"/>
    <n v="301"/>
    <x v="37"/>
    <x v="0"/>
    <x v="0"/>
    <x v="55"/>
    <n v="1"/>
  </r>
  <r>
    <n v="435"/>
    <n v="2"/>
    <n v="3"/>
    <n v="3"/>
    <n v="302"/>
    <x v="7"/>
    <x v="0"/>
    <x v="1"/>
    <x v="49"/>
    <n v="1"/>
  </r>
  <r>
    <n v="436"/>
    <n v="2"/>
    <n v="3"/>
    <n v="3"/>
    <n v="303"/>
    <x v="15"/>
    <x v="0"/>
    <x v="0"/>
    <x v="56"/>
    <n v="1"/>
  </r>
  <r>
    <n v="437"/>
    <n v="2"/>
    <n v="3"/>
    <n v="4"/>
    <n v="401"/>
    <x v="37"/>
    <x v="0"/>
    <x v="0"/>
    <x v="55"/>
    <n v="1"/>
  </r>
  <r>
    <n v="438"/>
    <n v="2"/>
    <n v="3"/>
    <n v="4"/>
    <n v="402"/>
    <x v="7"/>
    <x v="0"/>
    <x v="1"/>
    <x v="49"/>
    <n v="1"/>
  </r>
  <r>
    <n v="439"/>
    <n v="2"/>
    <n v="3"/>
    <n v="4"/>
    <n v="403"/>
    <x v="15"/>
    <x v="0"/>
    <x v="0"/>
    <x v="56"/>
    <n v="1"/>
  </r>
  <r>
    <n v="440"/>
    <n v="2"/>
    <n v="3"/>
    <n v="5"/>
    <n v="501"/>
    <x v="37"/>
    <x v="0"/>
    <x v="0"/>
    <x v="55"/>
    <n v="1"/>
  </r>
  <r>
    <n v="441"/>
    <n v="2"/>
    <n v="3"/>
    <n v="5"/>
    <n v="502"/>
    <x v="7"/>
    <x v="0"/>
    <x v="1"/>
    <x v="49"/>
    <n v="1"/>
  </r>
  <r>
    <n v="442"/>
    <n v="2"/>
    <n v="3"/>
    <n v="5"/>
    <n v="503"/>
    <x v="15"/>
    <x v="0"/>
    <x v="0"/>
    <x v="56"/>
    <n v="1"/>
  </r>
  <r>
    <n v="443"/>
    <n v="2"/>
    <n v="3"/>
    <n v="6"/>
    <n v="601"/>
    <x v="37"/>
    <x v="0"/>
    <x v="0"/>
    <x v="55"/>
    <n v="1"/>
  </r>
  <r>
    <n v="444"/>
    <n v="2"/>
    <n v="3"/>
    <n v="6"/>
    <n v="602"/>
    <x v="7"/>
    <x v="0"/>
    <x v="1"/>
    <x v="49"/>
    <n v="1"/>
  </r>
  <r>
    <n v="445"/>
    <n v="2"/>
    <n v="3"/>
    <n v="6"/>
    <n v="603"/>
    <x v="15"/>
    <x v="0"/>
    <x v="0"/>
    <x v="56"/>
    <n v="1"/>
  </r>
  <r>
    <n v="446"/>
    <n v="2"/>
    <n v="4"/>
    <n v="2"/>
    <n v="201"/>
    <x v="0"/>
    <x v="0"/>
    <x v="0"/>
    <x v="57"/>
    <n v="1"/>
  </r>
  <r>
    <n v="447"/>
    <n v="2"/>
    <n v="4"/>
    <n v="2"/>
    <n v="202"/>
    <x v="1"/>
    <x v="0"/>
    <x v="1"/>
    <x v="58"/>
    <n v="1"/>
  </r>
  <r>
    <n v="448"/>
    <n v="2"/>
    <n v="4"/>
    <n v="2"/>
    <n v="203"/>
    <x v="2"/>
    <x v="0"/>
    <x v="0"/>
    <x v="59"/>
    <n v="1"/>
  </r>
  <r>
    <n v="449"/>
    <n v="2"/>
    <n v="4"/>
    <n v="3"/>
    <n v="301"/>
    <x v="0"/>
    <x v="0"/>
    <x v="0"/>
    <x v="57"/>
    <n v="1"/>
  </r>
  <r>
    <n v="450"/>
    <n v="2"/>
    <n v="4"/>
    <n v="3"/>
    <n v="302"/>
    <x v="1"/>
    <x v="0"/>
    <x v="1"/>
    <x v="58"/>
    <n v="1"/>
  </r>
  <r>
    <n v="451"/>
    <n v="2"/>
    <n v="4"/>
    <n v="3"/>
    <n v="303"/>
    <x v="2"/>
    <x v="0"/>
    <x v="0"/>
    <x v="59"/>
    <n v="1"/>
  </r>
  <r>
    <n v="452"/>
    <n v="2"/>
    <n v="4"/>
    <n v="4"/>
    <n v="401"/>
    <x v="0"/>
    <x v="0"/>
    <x v="0"/>
    <x v="57"/>
    <n v="1"/>
  </r>
  <r>
    <n v="453"/>
    <n v="2"/>
    <n v="4"/>
    <n v="4"/>
    <n v="402"/>
    <x v="1"/>
    <x v="0"/>
    <x v="1"/>
    <x v="58"/>
    <n v="1"/>
  </r>
  <r>
    <n v="454"/>
    <n v="2"/>
    <n v="4"/>
    <n v="4"/>
    <n v="403"/>
    <x v="2"/>
    <x v="0"/>
    <x v="0"/>
    <x v="59"/>
    <n v="1"/>
  </r>
  <r>
    <n v="455"/>
    <n v="2"/>
    <n v="4"/>
    <n v="5"/>
    <n v="501"/>
    <x v="0"/>
    <x v="0"/>
    <x v="0"/>
    <x v="57"/>
    <n v="1"/>
  </r>
  <r>
    <n v="456"/>
    <n v="2"/>
    <n v="4"/>
    <n v="5"/>
    <n v="502"/>
    <x v="1"/>
    <x v="0"/>
    <x v="1"/>
    <x v="58"/>
    <n v="1"/>
  </r>
  <r>
    <n v="457"/>
    <n v="2"/>
    <n v="4"/>
    <n v="5"/>
    <n v="503"/>
    <x v="2"/>
    <x v="0"/>
    <x v="0"/>
    <x v="59"/>
    <n v="1"/>
  </r>
  <r>
    <n v="458"/>
    <n v="2"/>
    <n v="4"/>
    <n v="6"/>
    <n v="601"/>
    <x v="0"/>
    <x v="0"/>
    <x v="0"/>
    <x v="57"/>
    <n v="1"/>
  </r>
  <r>
    <n v="459"/>
    <n v="2"/>
    <n v="4"/>
    <n v="6"/>
    <n v="602"/>
    <x v="1"/>
    <x v="0"/>
    <x v="1"/>
    <x v="58"/>
    <n v="1"/>
  </r>
  <r>
    <n v="460"/>
    <n v="2"/>
    <n v="4"/>
    <n v="6"/>
    <n v="603"/>
    <x v="2"/>
    <x v="0"/>
    <x v="0"/>
    <x v="59"/>
    <n v="1"/>
  </r>
  <r>
    <n v="461"/>
    <n v="2"/>
    <n v="5"/>
    <n v="2"/>
    <n v="201"/>
    <x v="3"/>
    <x v="0"/>
    <x v="0"/>
    <x v="59"/>
    <n v="1"/>
  </r>
  <r>
    <n v="462"/>
    <n v="2"/>
    <n v="5"/>
    <n v="2"/>
    <n v="202"/>
    <x v="4"/>
    <x v="0"/>
    <x v="1"/>
    <x v="58"/>
    <n v="1"/>
  </r>
  <r>
    <n v="463"/>
    <n v="2"/>
    <n v="5"/>
    <n v="2"/>
    <n v="203"/>
    <x v="5"/>
    <x v="0"/>
    <x v="0"/>
    <x v="57"/>
    <n v="1"/>
  </r>
  <r>
    <n v="464"/>
    <n v="2"/>
    <n v="5"/>
    <n v="3"/>
    <n v="301"/>
    <x v="3"/>
    <x v="0"/>
    <x v="0"/>
    <x v="59"/>
    <n v="1"/>
  </r>
  <r>
    <n v="465"/>
    <n v="2"/>
    <n v="5"/>
    <n v="3"/>
    <n v="302"/>
    <x v="4"/>
    <x v="0"/>
    <x v="1"/>
    <x v="58"/>
    <n v="1"/>
  </r>
  <r>
    <n v="466"/>
    <n v="2"/>
    <n v="5"/>
    <n v="3"/>
    <n v="303"/>
    <x v="5"/>
    <x v="0"/>
    <x v="0"/>
    <x v="57"/>
    <n v="1"/>
  </r>
  <r>
    <n v="467"/>
    <n v="2"/>
    <n v="5"/>
    <n v="4"/>
    <n v="401"/>
    <x v="3"/>
    <x v="0"/>
    <x v="0"/>
    <x v="59"/>
    <n v="1"/>
  </r>
  <r>
    <n v="468"/>
    <n v="2"/>
    <n v="5"/>
    <n v="4"/>
    <n v="402"/>
    <x v="4"/>
    <x v="0"/>
    <x v="1"/>
    <x v="58"/>
    <n v="1"/>
  </r>
  <r>
    <n v="469"/>
    <n v="2"/>
    <n v="5"/>
    <n v="4"/>
    <n v="403"/>
    <x v="5"/>
    <x v="0"/>
    <x v="0"/>
    <x v="57"/>
    <n v="1"/>
  </r>
  <r>
    <n v="470"/>
    <n v="2"/>
    <n v="5"/>
    <n v="5"/>
    <n v="501"/>
    <x v="3"/>
    <x v="0"/>
    <x v="0"/>
    <x v="59"/>
    <n v="1"/>
  </r>
  <r>
    <n v="471"/>
    <n v="2"/>
    <n v="5"/>
    <n v="5"/>
    <n v="502"/>
    <x v="4"/>
    <x v="0"/>
    <x v="1"/>
    <x v="58"/>
    <n v="1"/>
  </r>
  <r>
    <n v="472"/>
    <n v="2"/>
    <n v="5"/>
    <n v="5"/>
    <n v="503"/>
    <x v="5"/>
    <x v="0"/>
    <x v="0"/>
    <x v="57"/>
    <n v="1"/>
  </r>
  <r>
    <n v="473"/>
    <n v="2"/>
    <n v="5"/>
    <n v="6"/>
    <n v="601"/>
    <x v="3"/>
    <x v="0"/>
    <x v="0"/>
    <x v="59"/>
    <n v="1"/>
  </r>
  <r>
    <n v="474"/>
    <n v="2"/>
    <n v="5"/>
    <n v="6"/>
    <n v="602"/>
    <x v="4"/>
    <x v="0"/>
    <x v="1"/>
    <x v="58"/>
    <n v="1"/>
  </r>
  <r>
    <n v="475"/>
    <n v="2"/>
    <n v="5"/>
    <n v="6"/>
    <n v="603"/>
    <x v="5"/>
    <x v="0"/>
    <x v="0"/>
    <x v="57"/>
    <n v="1"/>
  </r>
  <r>
    <n v="476"/>
    <n v="2"/>
    <n v="6"/>
    <n v="2"/>
    <n v="201"/>
    <x v="0"/>
    <x v="0"/>
    <x v="0"/>
    <x v="57"/>
    <n v="1"/>
  </r>
  <r>
    <n v="477"/>
    <n v="2"/>
    <n v="6"/>
    <n v="2"/>
    <n v="202"/>
    <x v="1"/>
    <x v="0"/>
    <x v="1"/>
    <x v="58"/>
    <n v="1"/>
  </r>
  <r>
    <n v="478"/>
    <n v="2"/>
    <n v="6"/>
    <n v="2"/>
    <n v="203"/>
    <x v="2"/>
    <x v="0"/>
    <x v="0"/>
    <x v="59"/>
    <n v="1"/>
  </r>
  <r>
    <n v="479"/>
    <n v="2"/>
    <n v="6"/>
    <n v="3"/>
    <n v="301"/>
    <x v="0"/>
    <x v="0"/>
    <x v="0"/>
    <x v="57"/>
    <n v="1"/>
  </r>
  <r>
    <n v="480"/>
    <n v="2"/>
    <n v="6"/>
    <n v="3"/>
    <n v="302"/>
    <x v="1"/>
    <x v="0"/>
    <x v="1"/>
    <x v="58"/>
    <n v="1"/>
  </r>
  <r>
    <n v="481"/>
    <n v="2"/>
    <n v="6"/>
    <n v="3"/>
    <n v="303"/>
    <x v="2"/>
    <x v="0"/>
    <x v="0"/>
    <x v="59"/>
    <n v="1"/>
  </r>
  <r>
    <n v="482"/>
    <n v="2"/>
    <n v="6"/>
    <n v="4"/>
    <n v="401"/>
    <x v="0"/>
    <x v="0"/>
    <x v="0"/>
    <x v="57"/>
    <n v="1"/>
  </r>
  <r>
    <n v="483"/>
    <n v="2"/>
    <n v="6"/>
    <n v="4"/>
    <n v="402"/>
    <x v="1"/>
    <x v="0"/>
    <x v="1"/>
    <x v="58"/>
    <n v="1"/>
  </r>
  <r>
    <n v="484"/>
    <n v="2"/>
    <n v="6"/>
    <n v="4"/>
    <n v="403"/>
    <x v="2"/>
    <x v="0"/>
    <x v="0"/>
    <x v="59"/>
    <n v="1"/>
  </r>
  <r>
    <n v="485"/>
    <n v="2"/>
    <n v="6"/>
    <n v="5"/>
    <n v="501"/>
    <x v="0"/>
    <x v="0"/>
    <x v="0"/>
    <x v="57"/>
    <n v="1"/>
  </r>
  <r>
    <n v="486"/>
    <n v="2"/>
    <n v="6"/>
    <n v="5"/>
    <n v="502"/>
    <x v="1"/>
    <x v="0"/>
    <x v="1"/>
    <x v="58"/>
    <n v="1"/>
  </r>
  <r>
    <n v="487"/>
    <n v="2"/>
    <n v="6"/>
    <n v="5"/>
    <n v="503"/>
    <x v="2"/>
    <x v="0"/>
    <x v="0"/>
    <x v="59"/>
    <n v="1"/>
  </r>
  <r>
    <n v="488"/>
    <n v="2"/>
    <n v="6"/>
    <n v="6"/>
    <n v="601"/>
    <x v="0"/>
    <x v="0"/>
    <x v="0"/>
    <x v="57"/>
    <n v="1"/>
  </r>
  <r>
    <n v="489"/>
    <n v="2"/>
    <n v="6"/>
    <n v="6"/>
    <n v="602"/>
    <x v="1"/>
    <x v="0"/>
    <x v="1"/>
    <x v="58"/>
    <n v="1"/>
  </r>
  <r>
    <n v="490"/>
    <n v="2"/>
    <n v="6"/>
    <n v="6"/>
    <n v="603"/>
    <x v="2"/>
    <x v="0"/>
    <x v="0"/>
    <x v="59"/>
    <n v="1"/>
  </r>
  <r>
    <n v="491"/>
    <n v="2"/>
    <n v="7"/>
    <n v="2"/>
    <n v="201"/>
    <x v="6"/>
    <x v="0"/>
    <x v="0"/>
    <x v="60"/>
    <n v="1"/>
  </r>
  <r>
    <n v="492"/>
    <n v="2"/>
    <n v="7"/>
    <n v="2"/>
    <n v="202"/>
    <x v="7"/>
    <x v="0"/>
    <x v="1"/>
    <x v="61"/>
    <n v="1"/>
  </r>
  <r>
    <n v="493"/>
    <n v="2"/>
    <n v="7"/>
    <n v="2"/>
    <n v="203"/>
    <x v="8"/>
    <x v="0"/>
    <x v="0"/>
    <x v="62"/>
    <n v="1"/>
  </r>
  <r>
    <n v="494"/>
    <n v="2"/>
    <n v="7"/>
    <n v="3"/>
    <n v="301"/>
    <x v="6"/>
    <x v="0"/>
    <x v="0"/>
    <x v="60"/>
    <n v="1"/>
  </r>
  <r>
    <n v="495"/>
    <n v="2"/>
    <n v="7"/>
    <n v="3"/>
    <n v="302"/>
    <x v="7"/>
    <x v="0"/>
    <x v="1"/>
    <x v="61"/>
    <n v="1"/>
  </r>
  <r>
    <n v="496"/>
    <n v="2"/>
    <n v="7"/>
    <n v="3"/>
    <n v="303"/>
    <x v="8"/>
    <x v="0"/>
    <x v="0"/>
    <x v="62"/>
    <n v="1"/>
  </r>
  <r>
    <n v="497"/>
    <n v="2"/>
    <n v="7"/>
    <n v="4"/>
    <n v="401"/>
    <x v="6"/>
    <x v="0"/>
    <x v="0"/>
    <x v="60"/>
    <n v="1"/>
  </r>
  <r>
    <n v="498"/>
    <n v="2"/>
    <n v="7"/>
    <n v="4"/>
    <n v="402"/>
    <x v="7"/>
    <x v="0"/>
    <x v="1"/>
    <x v="61"/>
    <n v="1"/>
  </r>
  <r>
    <n v="499"/>
    <n v="2"/>
    <n v="7"/>
    <n v="4"/>
    <n v="403"/>
    <x v="8"/>
    <x v="0"/>
    <x v="0"/>
    <x v="62"/>
    <n v="1"/>
  </r>
  <r>
    <n v="500"/>
    <n v="2"/>
    <n v="7"/>
    <n v="5"/>
    <n v="501"/>
    <x v="6"/>
    <x v="0"/>
    <x v="0"/>
    <x v="60"/>
    <n v="1"/>
  </r>
  <r>
    <n v="501"/>
    <n v="2"/>
    <n v="7"/>
    <n v="5"/>
    <n v="502"/>
    <x v="7"/>
    <x v="0"/>
    <x v="1"/>
    <x v="61"/>
    <n v="1"/>
  </r>
  <r>
    <n v="502"/>
    <n v="2"/>
    <n v="7"/>
    <n v="5"/>
    <n v="503"/>
    <x v="8"/>
    <x v="0"/>
    <x v="0"/>
    <x v="62"/>
    <n v="1"/>
  </r>
  <r>
    <n v="503"/>
    <n v="2"/>
    <n v="7"/>
    <n v="6"/>
    <n v="601"/>
    <x v="6"/>
    <x v="0"/>
    <x v="0"/>
    <x v="60"/>
    <n v="1"/>
  </r>
  <r>
    <n v="504"/>
    <n v="2"/>
    <n v="7"/>
    <n v="6"/>
    <n v="602"/>
    <x v="7"/>
    <x v="0"/>
    <x v="1"/>
    <x v="61"/>
    <n v="1"/>
  </r>
  <r>
    <n v="505"/>
    <n v="2"/>
    <n v="7"/>
    <n v="6"/>
    <n v="603"/>
    <x v="8"/>
    <x v="0"/>
    <x v="0"/>
    <x v="62"/>
    <n v="1"/>
  </r>
  <r>
    <n v="506"/>
    <n v="2"/>
    <n v="8"/>
    <n v="2"/>
    <n v="201"/>
    <x v="9"/>
    <x v="0"/>
    <x v="0"/>
    <x v="52"/>
    <n v="1"/>
  </r>
  <r>
    <n v="507"/>
    <n v="2"/>
    <n v="8"/>
    <n v="2"/>
    <n v="202"/>
    <x v="10"/>
    <x v="0"/>
    <x v="2"/>
    <x v="53"/>
    <n v="1"/>
  </r>
  <r>
    <n v="508"/>
    <n v="2"/>
    <n v="8"/>
    <n v="2"/>
    <n v="203"/>
    <x v="11"/>
    <x v="1"/>
    <x v="3"/>
    <x v="54"/>
    <n v="1"/>
  </r>
  <r>
    <n v="509"/>
    <n v="2"/>
    <n v="8"/>
    <n v="3"/>
    <n v="301"/>
    <x v="9"/>
    <x v="0"/>
    <x v="0"/>
    <x v="52"/>
    <n v="1"/>
  </r>
  <r>
    <n v="510"/>
    <n v="2"/>
    <n v="8"/>
    <n v="3"/>
    <n v="302"/>
    <x v="10"/>
    <x v="0"/>
    <x v="2"/>
    <x v="53"/>
    <n v="1"/>
  </r>
  <r>
    <n v="511"/>
    <n v="2"/>
    <n v="8"/>
    <n v="3"/>
    <n v="303"/>
    <x v="11"/>
    <x v="1"/>
    <x v="3"/>
    <x v="54"/>
    <n v="1"/>
  </r>
  <r>
    <n v="512"/>
    <n v="2"/>
    <n v="8"/>
    <n v="4"/>
    <n v="401"/>
    <x v="9"/>
    <x v="0"/>
    <x v="0"/>
    <x v="52"/>
    <n v="1"/>
  </r>
  <r>
    <n v="513"/>
    <n v="2"/>
    <n v="8"/>
    <n v="4"/>
    <n v="402"/>
    <x v="10"/>
    <x v="0"/>
    <x v="2"/>
    <x v="53"/>
    <n v="1"/>
  </r>
  <r>
    <n v="514"/>
    <n v="2"/>
    <n v="8"/>
    <n v="4"/>
    <n v="403"/>
    <x v="11"/>
    <x v="1"/>
    <x v="3"/>
    <x v="54"/>
    <n v="1"/>
  </r>
  <r>
    <n v="515"/>
    <n v="2"/>
    <n v="8"/>
    <n v="5"/>
    <n v="501"/>
    <x v="9"/>
    <x v="0"/>
    <x v="0"/>
    <x v="52"/>
    <n v="1"/>
  </r>
  <r>
    <n v="516"/>
    <n v="2"/>
    <n v="8"/>
    <n v="5"/>
    <n v="502"/>
    <x v="10"/>
    <x v="0"/>
    <x v="2"/>
    <x v="53"/>
    <n v="1"/>
  </r>
  <r>
    <n v="517"/>
    <n v="2"/>
    <n v="8"/>
    <n v="5"/>
    <n v="503"/>
    <x v="11"/>
    <x v="1"/>
    <x v="3"/>
    <x v="54"/>
    <n v="1"/>
  </r>
  <r>
    <n v="518"/>
    <n v="2"/>
    <n v="8"/>
    <n v="6"/>
    <n v="601"/>
    <x v="9"/>
    <x v="0"/>
    <x v="0"/>
    <x v="52"/>
    <n v="1"/>
  </r>
  <r>
    <n v="519"/>
    <n v="2"/>
    <n v="8"/>
    <n v="6"/>
    <n v="602"/>
    <x v="10"/>
    <x v="0"/>
    <x v="2"/>
    <x v="53"/>
    <n v="1"/>
  </r>
  <r>
    <n v="520"/>
    <n v="2"/>
    <n v="8"/>
    <n v="6"/>
    <n v="603"/>
    <x v="11"/>
    <x v="1"/>
    <x v="3"/>
    <x v="54"/>
    <n v="1"/>
  </r>
  <r>
    <n v="521"/>
    <n v="2"/>
    <n v="9"/>
    <n v="1"/>
    <n v="101"/>
    <x v="15"/>
    <x v="0"/>
    <x v="3"/>
    <x v="48"/>
    <n v="1"/>
  </r>
  <r>
    <n v="522"/>
    <n v="2"/>
    <n v="9"/>
    <n v="1"/>
    <n v="102"/>
    <x v="7"/>
    <x v="0"/>
    <x v="4"/>
    <x v="49"/>
    <n v="1"/>
  </r>
  <r>
    <n v="523"/>
    <n v="2"/>
    <n v="9"/>
    <n v="1"/>
    <n v="103"/>
    <x v="38"/>
    <x v="2"/>
    <x v="1"/>
    <x v="63"/>
    <n v="1"/>
  </r>
  <r>
    <n v="524"/>
    <n v="2"/>
    <n v="9"/>
    <n v="2"/>
    <n v="201"/>
    <x v="15"/>
    <x v="0"/>
    <x v="3"/>
    <x v="48"/>
    <n v="1"/>
  </r>
  <r>
    <n v="525"/>
    <n v="2"/>
    <n v="9"/>
    <n v="2"/>
    <n v="202"/>
    <x v="7"/>
    <x v="0"/>
    <x v="4"/>
    <x v="49"/>
    <n v="1"/>
  </r>
  <r>
    <n v="526"/>
    <n v="2"/>
    <n v="9"/>
    <n v="2"/>
    <n v="203"/>
    <x v="16"/>
    <x v="0"/>
    <x v="1"/>
    <x v="51"/>
    <n v="1"/>
  </r>
  <r>
    <n v="527"/>
    <n v="2"/>
    <n v="9"/>
    <n v="3"/>
    <n v="301"/>
    <x v="15"/>
    <x v="0"/>
    <x v="3"/>
    <x v="48"/>
    <n v="1"/>
  </r>
  <r>
    <n v="528"/>
    <n v="2"/>
    <n v="9"/>
    <n v="3"/>
    <n v="302"/>
    <x v="7"/>
    <x v="0"/>
    <x v="4"/>
    <x v="49"/>
    <n v="1"/>
  </r>
  <r>
    <n v="529"/>
    <n v="2"/>
    <n v="9"/>
    <n v="3"/>
    <n v="303"/>
    <x v="16"/>
    <x v="0"/>
    <x v="1"/>
    <x v="51"/>
    <n v="1"/>
  </r>
  <r>
    <n v="530"/>
    <n v="2"/>
    <n v="9"/>
    <n v="4"/>
    <n v="401"/>
    <x v="15"/>
    <x v="0"/>
    <x v="3"/>
    <x v="48"/>
    <n v="1"/>
  </r>
  <r>
    <n v="531"/>
    <n v="2"/>
    <n v="9"/>
    <n v="4"/>
    <n v="402"/>
    <x v="7"/>
    <x v="0"/>
    <x v="4"/>
    <x v="49"/>
    <n v="1"/>
  </r>
  <r>
    <n v="532"/>
    <n v="2"/>
    <n v="9"/>
    <n v="4"/>
    <n v="403"/>
    <x v="16"/>
    <x v="0"/>
    <x v="1"/>
    <x v="51"/>
    <n v="1"/>
  </r>
  <r>
    <n v="533"/>
    <n v="2"/>
    <n v="9"/>
    <n v="5"/>
    <n v="501"/>
    <x v="15"/>
    <x v="0"/>
    <x v="3"/>
    <x v="48"/>
    <n v="1"/>
  </r>
  <r>
    <n v="534"/>
    <n v="2"/>
    <n v="9"/>
    <n v="5"/>
    <n v="502"/>
    <x v="7"/>
    <x v="0"/>
    <x v="4"/>
    <x v="49"/>
    <n v="1"/>
  </r>
  <r>
    <n v="535"/>
    <n v="2"/>
    <n v="9"/>
    <n v="5"/>
    <n v="503"/>
    <x v="16"/>
    <x v="0"/>
    <x v="1"/>
    <x v="51"/>
    <n v="1"/>
  </r>
  <r>
    <n v="536"/>
    <n v="2"/>
    <n v="9"/>
    <n v="6"/>
    <n v="601"/>
    <x v="15"/>
    <x v="0"/>
    <x v="3"/>
    <x v="48"/>
    <n v="1"/>
  </r>
  <r>
    <n v="537"/>
    <n v="2"/>
    <n v="9"/>
    <n v="6"/>
    <n v="602"/>
    <x v="7"/>
    <x v="0"/>
    <x v="4"/>
    <x v="49"/>
    <n v="1"/>
  </r>
  <r>
    <n v="538"/>
    <n v="2"/>
    <n v="9"/>
    <n v="6"/>
    <n v="603"/>
    <x v="16"/>
    <x v="0"/>
    <x v="1"/>
    <x v="51"/>
    <n v="1"/>
  </r>
  <r>
    <n v="539"/>
    <n v="1"/>
    <n v="1"/>
    <n v="2"/>
    <n v="201"/>
    <x v="39"/>
    <x v="0"/>
    <x v="0"/>
    <x v="64"/>
    <n v="1"/>
  </r>
  <r>
    <n v="540"/>
    <n v="1"/>
    <n v="1"/>
    <n v="2"/>
    <n v="202"/>
    <x v="40"/>
    <x v="2"/>
    <x v="6"/>
    <x v="65"/>
    <n v="1"/>
  </r>
  <r>
    <n v="541"/>
    <n v="1"/>
    <n v="1"/>
    <n v="2"/>
    <n v="203"/>
    <x v="41"/>
    <x v="2"/>
    <x v="5"/>
    <x v="66"/>
    <n v="1"/>
  </r>
  <r>
    <n v="542"/>
    <n v="1"/>
    <n v="1"/>
    <n v="2"/>
    <n v="204"/>
    <x v="42"/>
    <x v="1"/>
    <x v="1"/>
    <x v="67"/>
    <n v="1"/>
  </r>
  <r>
    <n v="543"/>
    <n v="1"/>
    <n v="1"/>
    <n v="3"/>
    <n v="301"/>
    <x v="39"/>
    <x v="0"/>
    <x v="0"/>
    <x v="64"/>
    <n v="1"/>
  </r>
  <r>
    <n v="544"/>
    <n v="1"/>
    <n v="1"/>
    <n v="3"/>
    <n v="302"/>
    <x v="40"/>
    <x v="2"/>
    <x v="6"/>
    <x v="65"/>
    <n v="1"/>
  </r>
  <r>
    <n v="545"/>
    <n v="1"/>
    <n v="1"/>
    <n v="3"/>
    <n v="303"/>
    <x v="41"/>
    <x v="2"/>
    <x v="5"/>
    <x v="66"/>
    <n v="1"/>
  </r>
  <r>
    <n v="546"/>
    <n v="1"/>
    <n v="1"/>
    <n v="3"/>
    <n v="304"/>
    <x v="42"/>
    <x v="1"/>
    <x v="1"/>
    <x v="67"/>
    <n v="1"/>
  </r>
  <r>
    <n v="547"/>
    <n v="1"/>
    <n v="1"/>
    <n v="4"/>
    <n v="401"/>
    <x v="39"/>
    <x v="0"/>
    <x v="0"/>
    <x v="64"/>
    <n v="1"/>
  </r>
  <r>
    <n v="548"/>
    <n v="1"/>
    <n v="1"/>
    <n v="4"/>
    <n v="402"/>
    <x v="40"/>
    <x v="2"/>
    <x v="6"/>
    <x v="65"/>
    <n v="1"/>
  </r>
  <r>
    <n v="549"/>
    <n v="1"/>
    <n v="1"/>
    <n v="4"/>
    <n v="403"/>
    <x v="41"/>
    <x v="2"/>
    <x v="5"/>
    <x v="66"/>
    <n v="1"/>
  </r>
  <r>
    <n v="550"/>
    <n v="1"/>
    <n v="1"/>
    <n v="4"/>
    <n v="404"/>
    <x v="42"/>
    <x v="1"/>
    <x v="1"/>
    <x v="67"/>
    <n v="1"/>
  </r>
  <r>
    <n v="551"/>
    <n v="1"/>
    <n v="1"/>
    <n v="5"/>
    <n v="501"/>
    <x v="39"/>
    <x v="0"/>
    <x v="0"/>
    <x v="64"/>
    <n v="1"/>
  </r>
  <r>
    <n v="552"/>
    <n v="1"/>
    <n v="1"/>
    <n v="5"/>
    <n v="502"/>
    <x v="40"/>
    <x v="2"/>
    <x v="6"/>
    <x v="65"/>
    <n v="1"/>
  </r>
  <r>
    <n v="553"/>
    <n v="1"/>
    <n v="1"/>
    <n v="5"/>
    <n v="503"/>
    <x v="41"/>
    <x v="2"/>
    <x v="5"/>
    <x v="66"/>
    <n v="1"/>
  </r>
  <r>
    <n v="554"/>
    <n v="1"/>
    <n v="1"/>
    <n v="5"/>
    <n v="504"/>
    <x v="42"/>
    <x v="1"/>
    <x v="1"/>
    <x v="67"/>
    <n v="1"/>
  </r>
  <r>
    <n v="555"/>
    <n v="1"/>
    <n v="1"/>
    <n v="6"/>
    <n v="601"/>
    <x v="39"/>
    <x v="0"/>
    <x v="0"/>
    <x v="64"/>
    <n v="1"/>
  </r>
  <r>
    <n v="556"/>
    <n v="1"/>
    <n v="1"/>
    <n v="6"/>
    <n v="602"/>
    <x v="40"/>
    <x v="2"/>
    <x v="6"/>
    <x v="65"/>
    <n v="1"/>
  </r>
  <r>
    <n v="557"/>
    <n v="1"/>
    <n v="1"/>
    <n v="6"/>
    <n v="603"/>
    <x v="41"/>
    <x v="2"/>
    <x v="5"/>
    <x v="66"/>
    <n v="1"/>
  </r>
  <r>
    <n v="558"/>
    <n v="1"/>
    <n v="1"/>
    <n v="6"/>
    <n v="604"/>
    <x v="42"/>
    <x v="1"/>
    <x v="1"/>
    <x v="67"/>
    <n v="1"/>
  </r>
  <r>
    <n v="559"/>
    <n v="1"/>
    <n v="2"/>
    <n v="2"/>
    <n v="201"/>
    <x v="6"/>
    <x v="0"/>
    <x v="0"/>
    <x v="68"/>
    <n v="1"/>
  </r>
  <r>
    <n v="560"/>
    <n v="1"/>
    <n v="2"/>
    <n v="2"/>
    <n v="202"/>
    <x v="7"/>
    <x v="0"/>
    <x v="1"/>
    <x v="69"/>
    <n v="1"/>
  </r>
  <r>
    <n v="561"/>
    <n v="1"/>
    <n v="2"/>
    <n v="2"/>
    <n v="203"/>
    <x v="15"/>
    <x v="0"/>
    <x v="0"/>
    <x v="70"/>
    <n v="1"/>
  </r>
  <r>
    <n v="562"/>
    <n v="1"/>
    <n v="2"/>
    <n v="3"/>
    <n v="301"/>
    <x v="6"/>
    <x v="0"/>
    <x v="0"/>
    <x v="68"/>
    <n v="1"/>
  </r>
  <r>
    <n v="563"/>
    <n v="1"/>
    <n v="2"/>
    <n v="3"/>
    <n v="302"/>
    <x v="7"/>
    <x v="0"/>
    <x v="1"/>
    <x v="69"/>
    <n v="1"/>
  </r>
  <r>
    <n v="564"/>
    <n v="1"/>
    <n v="2"/>
    <n v="3"/>
    <n v="303"/>
    <x v="15"/>
    <x v="0"/>
    <x v="0"/>
    <x v="70"/>
    <n v="1"/>
  </r>
  <r>
    <n v="565"/>
    <n v="1"/>
    <n v="2"/>
    <n v="4"/>
    <n v="401"/>
    <x v="6"/>
    <x v="0"/>
    <x v="0"/>
    <x v="68"/>
    <n v="1"/>
  </r>
  <r>
    <n v="566"/>
    <n v="1"/>
    <n v="2"/>
    <n v="4"/>
    <n v="402"/>
    <x v="7"/>
    <x v="0"/>
    <x v="1"/>
    <x v="69"/>
    <n v="1"/>
  </r>
  <r>
    <n v="567"/>
    <n v="1"/>
    <n v="2"/>
    <n v="4"/>
    <n v="403"/>
    <x v="15"/>
    <x v="0"/>
    <x v="0"/>
    <x v="70"/>
    <n v="1"/>
  </r>
  <r>
    <n v="568"/>
    <n v="1"/>
    <n v="2"/>
    <n v="5"/>
    <n v="501"/>
    <x v="6"/>
    <x v="0"/>
    <x v="0"/>
    <x v="68"/>
    <n v="1"/>
  </r>
  <r>
    <n v="569"/>
    <n v="1"/>
    <n v="2"/>
    <n v="5"/>
    <n v="502"/>
    <x v="7"/>
    <x v="0"/>
    <x v="1"/>
    <x v="69"/>
    <n v="1"/>
  </r>
  <r>
    <n v="570"/>
    <n v="1"/>
    <n v="2"/>
    <n v="5"/>
    <n v="503"/>
    <x v="15"/>
    <x v="0"/>
    <x v="0"/>
    <x v="70"/>
    <n v="1"/>
  </r>
  <r>
    <n v="571"/>
    <n v="1"/>
    <n v="2"/>
    <n v="6"/>
    <n v="601"/>
    <x v="6"/>
    <x v="0"/>
    <x v="0"/>
    <x v="68"/>
    <n v="1"/>
  </r>
  <r>
    <n v="572"/>
    <n v="1"/>
    <n v="2"/>
    <n v="6"/>
    <n v="602"/>
    <x v="7"/>
    <x v="0"/>
    <x v="1"/>
    <x v="69"/>
    <n v="1"/>
  </r>
  <r>
    <n v="573"/>
    <n v="1"/>
    <n v="2"/>
    <n v="6"/>
    <n v="603"/>
    <x v="15"/>
    <x v="0"/>
    <x v="0"/>
    <x v="70"/>
    <n v="1"/>
  </r>
  <r>
    <n v="574"/>
    <n v="1"/>
    <n v="3"/>
    <n v="2"/>
    <n v="201"/>
    <x v="14"/>
    <x v="0"/>
    <x v="0"/>
    <x v="70"/>
    <n v="1"/>
  </r>
  <r>
    <n v="575"/>
    <n v="1"/>
    <n v="3"/>
    <n v="2"/>
    <n v="202"/>
    <x v="13"/>
    <x v="0"/>
    <x v="1"/>
    <x v="69"/>
    <n v="1"/>
  </r>
  <r>
    <n v="576"/>
    <n v="1"/>
    <n v="3"/>
    <n v="2"/>
    <n v="203"/>
    <x v="25"/>
    <x v="0"/>
    <x v="0"/>
    <x v="71"/>
    <n v="1"/>
  </r>
  <r>
    <n v="577"/>
    <n v="1"/>
    <n v="3"/>
    <n v="3"/>
    <n v="301"/>
    <x v="14"/>
    <x v="0"/>
    <x v="0"/>
    <x v="70"/>
    <n v="1"/>
  </r>
  <r>
    <n v="578"/>
    <n v="1"/>
    <n v="3"/>
    <n v="3"/>
    <n v="302"/>
    <x v="13"/>
    <x v="0"/>
    <x v="1"/>
    <x v="69"/>
    <n v="1"/>
  </r>
  <r>
    <n v="579"/>
    <n v="1"/>
    <n v="3"/>
    <n v="3"/>
    <n v="303"/>
    <x v="25"/>
    <x v="0"/>
    <x v="0"/>
    <x v="71"/>
    <n v="1"/>
  </r>
  <r>
    <n v="580"/>
    <n v="1"/>
    <n v="3"/>
    <n v="4"/>
    <n v="401"/>
    <x v="14"/>
    <x v="0"/>
    <x v="0"/>
    <x v="70"/>
    <n v="1"/>
  </r>
  <r>
    <n v="581"/>
    <n v="1"/>
    <n v="3"/>
    <n v="4"/>
    <n v="402"/>
    <x v="13"/>
    <x v="0"/>
    <x v="1"/>
    <x v="69"/>
    <n v="1"/>
  </r>
  <r>
    <n v="582"/>
    <n v="1"/>
    <n v="3"/>
    <n v="4"/>
    <n v="403"/>
    <x v="25"/>
    <x v="0"/>
    <x v="0"/>
    <x v="71"/>
    <n v="1"/>
  </r>
  <r>
    <n v="583"/>
    <n v="1"/>
    <n v="3"/>
    <n v="5"/>
    <n v="501"/>
    <x v="14"/>
    <x v="0"/>
    <x v="0"/>
    <x v="70"/>
    <n v="1"/>
  </r>
  <r>
    <n v="584"/>
    <n v="1"/>
    <n v="3"/>
    <n v="5"/>
    <n v="502"/>
    <x v="13"/>
    <x v="0"/>
    <x v="1"/>
    <x v="69"/>
    <n v="1"/>
  </r>
  <r>
    <n v="585"/>
    <n v="1"/>
    <n v="3"/>
    <n v="5"/>
    <n v="503"/>
    <x v="25"/>
    <x v="0"/>
    <x v="0"/>
    <x v="71"/>
    <n v="1"/>
  </r>
  <r>
    <n v="586"/>
    <n v="1"/>
    <n v="3"/>
    <n v="6"/>
    <n v="601"/>
    <x v="14"/>
    <x v="0"/>
    <x v="0"/>
    <x v="70"/>
    <n v="1"/>
  </r>
  <r>
    <n v="587"/>
    <n v="1"/>
    <n v="3"/>
    <n v="6"/>
    <n v="602"/>
    <x v="13"/>
    <x v="0"/>
    <x v="1"/>
    <x v="69"/>
    <n v="1"/>
  </r>
  <r>
    <n v="588"/>
    <n v="1"/>
    <n v="3"/>
    <n v="6"/>
    <n v="603"/>
    <x v="25"/>
    <x v="0"/>
    <x v="0"/>
    <x v="71"/>
    <n v="1"/>
  </r>
  <r>
    <n v="589"/>
    <n v="1"/>
    <n v="4"/>
    <n v="2"/>
    <n v="201"/>
    <x v="43"/>
    <x v="0"/>
    <x v="0"/>
    <x v="72"/>
    <n v="1"/>
  </r>
  <r>
    <n v="590"/>
    <n v="1"/>
    <n v="4"/>
    <n v="2"/>
    <n v="202"/>
    <x v="44"/>
    <x v="2"/>
    <x v="1"/>
    <x v="73"/>
    <n v="1"/>
  </r>
  <r>
    <n v="591"/>
    <n v="1"/>
    <n v="4"/>
    <n v="2"/>
    <n v="203"/>
    <x v="45"/>
    <x v="2"/>
    <x v="4"/>
    <x v="74"/>
    <n v="1"/>
  </r>
  <r>
    <n v="592"/>
    <n v="1"/>
    <n v="4"/>
    <n v="3"/>
    <n v="301"/>
    <x v="43"/>
    <x v="0"/>
    <x v="0"/>
    <x v="72"/>
    <n v="1"/>
  </r>
  <r>
    <n v="593"/>
    <n v="1"/>
    <n v="4"/>
    <n v="3"/>
    <n v="302"/>
    <x v="44"/>
    <x v="2"/>
    <x v="1"/>
    <x v="73"/>
    <n v="1"/>
  </r>
  <r>
    <n v="594"/>
    <n v="1"/>
    <n v="4"/>
    <n v="3"/>
    <n v="303"/>
    <x v="45"/>
    <x v="2"/>
    <x v="4"/>
    <x v="74"/>
    <n v="1"/>
  </r>
  <r>
    <n v="595"/>
    <n v="1"/>
    <n v="4"/>
    <n v="4"/>
    <n v="401"/>
    <x v="43"/>
    <x v="0"/>
    <x v="0"/>
    <x v="72"/>
    <n v="1"/>
  </r>
  <r>
    <n v="596"/>
    <n v="1"/>
    <n v="4"/>
    <n v="4"/>
    <n v="402"/>
    <x v="44"/>
    <x v="2"/>
    <x v="1"/>
    <x v="73"/>
    <n v="1"/>
  </r>
  <r>
    <n v="597"/>
    <n v="1"/>
    <n v="4"/>
    <n v="4"/>
    <n v="403"/>
    <x v="45"/>
    <x v="2"/>
    <x v="4"/>
    <x v="74"/>
    <n v="1"/>
  </r>
  <r>
    <n v="598"/>
    <n v="1"/>
    <n v="4"/>
    <n v="5"/>
    <n v="501"/>
    <x v="43"/>
    <x v="0"/>
    <x v="0"/>
    <x v="72"/>
    <n v="1"/>
  </r>
  <r>
    <n v="599"/>
    <n v="1"/>
    <n v="4"/>
    <n v="5"/>
    <n v="502"/>
    <x v="44"/>
    <x v="2"/>
    <x v="1"/>
    <x v="73"/>
    <n v="1"/>
  </r>
  <r>
    <n v="600"/>
    <n v="1"/>
    <n v="4"/>
    <n v="5"/>
    <n v="503"/>
    <x v="45"/>
    <x v="2"/>
    <x v="4"/>
    <x v="74"/>
    <n v="1"/>
  </r>
  <r>
    <n v="601"/>
    <n v="1"/>
    <n v="4"/>
    <n v="6"/>
    <n v="601"/>
    <x v="43"/>
    <x v="0"/>
    <x v="0"/>
    <x v="72"/>
    <n v="1"/>
  </r>
  <r>
    <n v="602"/>
    <n v="1"/>
    <n v="4"/>
    <n v="6"/>
    <n v="602"/>
    <x v="44"/>
    <x v="2"/>
    <x v="1"/>
    <x v="73"/>
    <n v="1"/>
  </r>
  <r>
    <n v="603"/>
    <n v="1"/>
    <n v="4"/>
    <n v="6"/>
    <n v="603"/>
    <x v="45"/>
    <x v="2"/>
    <x v="4"/>
    <x v="74"/>
    <n v="1"/>
  </r>
  <r>
    <n v="604"/>
    <n v="1"/>
    <n v="5"/>
    <n v="2"/>
    <n v="201"/>
    <x v="39"/>
    <x v="0"/>
    <x v="0"/>
    <x v="64"/>
    <n v="1"/>
  </r>
  <r>
    <n v="605"/>
    <n v="1"/>
    <n v="5"/>
    <n v="2"/>
    <n v="202"/>
    <x v="40"/>
    <x v="2"/>
    <x v="6"/>
    <x v="65"/>
    <n v="1"/>
  </r>
  <r>
    <n v="606"/>
    <n v="1"/>
    <n v="5"/>
    <n v="2"/>
    <n v="203"/>
    <x v="46"/>
    <x v="2"/>
    <x v="5"/>
    <x v="75"/>
    <n v="1"/>
  </r>
  <r>
    <n v="607"/>
    <n v="1"/>
    <n v="5"/>
    <n v="2"/>
    <n v="204"/>
    <x v="47"/>
    <x v="0"/>
    <x v="3"/>
    <x v="76"/>
    <n v="1"/>
  </r>
  <r>
    <n v="608"/>
    <n v="1"/>
    <n v="5"/>
    <n v="3"/>
    <n v="301"/>
    <x v="39"/>
    <x v="0"/>
    <x v="0"/>
    <x v="64"/>
    <n v="1"/>
  </r>
  <r>
    <n v="609"/>
    <n v="1"/>
    <n v="5"/>
    <n v="3"/>
    <n v="302"/>
    <x v="40"/>
    <x v="2"/>
    <x v="6"/>
    <x v="65"/>
    <n v="1"/>
  </r>
  <r>
    <n v="610"/>
    <n v="1"/>
    <n v="5"/>
    <n v="3"/>
    <n v="303"/>
    <x v="46"/>
    <x v="2"/>
    <x v="5"/>
    <x v="75"/>
    <n v="1"/>
  </r>
  <r>
    <n v="611"/>
    <n v="1"/>
    <n v="5"/>
    <n v="3"/>
    <n v="304"/>
    <x v="47"/>
    <x v="0"/>
    <x v="3"/>
    <x v="76"/>
    <n v="1"/>
  </r>
  <r>
    <n v="612"/>
    <n v="1"/>
    <n v="5"/>
    <n v="4"/>
    <n v="401"/>
    <x v="39"/>
    <x v="0"/>
    <x v="0"/>
    <x v="64"/>
    <n v="1"/>
  </r>
  <r>
    <n v="613"/>
    <n v="1"/>
    <n v="5"/>
    <n v="4"/>
    <n v="402"/>
    <x v="40"/>
    <x v="2"/>
    <x v="6"/>
    <x v="65"/>
    <n v="1"/>
  </r>
  <r>
    <n v="614"/>
    <n v="1"/>
    <n v="5"/>
    <n v="4"/>
    <n v="403"/>
    <x v="46"/>
    <x v="2"/>
    <x v="5"/>
    <x v="75"/>
    <n v="1"/>
  </r>
  <r>
    <n v="615"/>
    <n v="1"/>
    <n v="5"/>
    <n v="4"/>
    <n v="404"/>
    <x v="47"/>
    <x v="0"/>
    <x v="3"/>
    <x v="76"/>
    <n v="1"/>
  </r>
  <r>
    <n v="616"/>
    <n v="1"/>
    <n v="5"/>
    <n v="5"/>
    <n v="501"/>
    <x v="39"/>
    <x v="0"/>
    <x v="0"/>
    <x v="64"/>
    <n v="1"/>
  </r>
  <r>
    <n v="617"/>
    <n v="1"/>
    <n v="5"/>
    <n v="5"/>
    <n v="502"/>
    <x v="40"/>
    <x v="2"/>
    <x v="6"/>
    <x v="65"/>
    <n v="1"/>
  </r>
  <r>
    <n v="618"/>
    <n v="1"/>
    <n v="5"/>
    <n v="5"/>
    <n v="503"/>
    <x v="46"/>
    <x v="2"/>
    <x v="5"/>
    <x v="75"/>
    <n v="1"/>
  </r>
  <r>
    <n v="619"/>
    <n v="1"/>
    <n v="5"/>
    <n v="5"/>
    <n v="504"/>
    <x v="47"/>
    <x v="0"/>
    <x v="3"/>
    <x v="76"/>
    <n v="1"/>
  </r>
  <r>
    <n v="620"/>
    <n v="1"/>
    <n v="5"/>
    <n v="6"/>
    <n v="601"/>
    <x v="39"/>
    <x v="0"/>
    <x v="0"/>
    <x v="64"/>
    <n v="1"/>
  </r>
  <r>
    <n v="621"/>
    <n v="1"/>
    <n v="5"/>
    <n v="6"/>
    <n v="602"/>
    <x v="40"/>
    <x v="2"/>
    <x v="6"/>
    <x v="65"/>
    <n v="1"/>
  </r>
  <r>
    <n v="622"/>
    <n v="1"/>
    <n v="5"/>
    <n v="6"/>
    <n v="603"/>
    <x v="46"/>
    <x v="2"/>
    <x v="5"/>
    <x v="75"/>
    <n v="1"/>
  </r>
  <r>
    <n v="623"/>
    <n v="1"/>
    <n v="5"/>
    <n v="6"/>
    <n v="604"/>
    <x v="47"/>
    <x v="0"/>
    <x v="3"/>
    <x v="76"/>
    <n v="1"/>
  </r>
  <r>
    <n v="624"/>
    <n v="1"/>
    <n v="6"/>
    <n v="2"/>
    <n v="201"/>
    <x v="14"/>
    <x v="0"/>
    <x v="0"/>
    <x v="77"/>
    <n v="1"/>
  </r>
  <r>
    <n v="625"/>
    <n v="1"/>
    <n v="6"/>
    <n v="2"/>
    <n v="202"/>
    <x v="13"/>
    <x v="0"/>
    <x v="1"/>
    <x v="69"/>
    <n v="1"/>
  </r>
  <r>
    <n v="626"/>
    <n v="1"/>
    <n v="6"/>
    <n v="2"/>
    <n v="203"/>
    <x v="25"/>
    <x v="0"/>
    <x v="0"/>
    <x v="71"/>
    <n v="1"/>
  </r>
  <r>
    <n v="627"/>
    <n v="1"/>
    <n v="6"/>
    <n v="3"/>
    <n v="301"/>
    <x v="14"/>
    <x v="0"/>
    <x v="0"/>
    <x v="77"/>
    <n v="1"/>
  </r>
  <r>
    <n v="628"/>
    <n v="1"/>
    <n v="6"/>
    <n v="3"/>
    <n v="302"/>
    <x v="13"/>
    <x v="0"/>
    <x v="1"/>
    <x v="69"/>
    <n v="1"/>
  </r>
  <r>
    <n v="629"/>
    <n v="1"/>
    <n v="6"/>
    <n v="3"/>
    <n v="303"/>
    <x v="25"/>
    <x v="0"/>
    <x v="0"/>
    <x v="71"/>
    <n v="1"/>
  </r>
  <r>
    <n v="630"/>
    <n v="1"/>
    <n v="6"/>
    <n v="4"/>
    <n v="401"/>
    <x v="14"/>
    <x v="0"/>
    <x v="0"/>
    <x v="77"/>
    <n v="1"/>
  </r>
  <r>
    <n v="631"/>
    <n v="1"/>
    <n v="6"/>
    <n v="4"/>
    <n v="402"/>
    <x v="13"/>
    <x v="0"/>
    <x v="1"/>
    <x v="69"/>
    <n v="1"/>
  </r>
  <r>
    <n v="632"/>
    <n v="1"/>
    <n v="6"/>
    <n v="4"/>
    <n v="403"/>
    <x v="25"/>
    <x v="0"/>
    <x v="0"/>
    <x v="71"/>
    <n v="1"/>
  </r>
  <r>
    <n v="633"/>
    <n v="1"/>
    <n v="6"/>
    <n v="5"/>
    <n v="501"/>
    <x v="14"/>
    <x v="0"/>
    <x v="0"/>
    <x v="77"/>
    <n v="1"/>
  </r>
  <r>
    <n v="634"/>
    <n v="1"/>
    <n v="6"/>
    <n v="5"/>
    <n v="502"/>
    <x v="13"/>
    <x v="0"/>
    <x v="1"/>
    <x v="69"/>
    <n v="1"/>
  </r>
  <r>
    <n v="635"/>
    <n v="1"/>
    <n v="6"/>
    <n v="5"/>
    <n v="503"/>
    <x v="25"/>
    <x v="0"/>
    <x v="0"/>
    <x v="71"/>
    <n v="1"/>
  </r>
  <r>
    <n v="636"/>
    <n v="1"/>
    <n v="6"/>
    <n v="6"/>
    <n v="601"/>
    <x v="14"/>
    <x v="0"/>
    <x v="0"/>
    <x v="77"/>
    <n v="1"/>
  </r>
  <r>
    <n v="637"/>
    <n v="1"/>
    <n v="6"/>
    <n v="6"/>
    <n v="602"/>
    <x v="13"/>
    <x v="0"/>
    <x v="1"/>
    <x v="69"/>
    <n v="1"/>
  </r>
  <r>
    <n v="638"/>
    <n v="1"/>
    <n v="6"/>
    <n v="6"/>
    <n v="603"/>
    <x v="25"/>
    <x v="0"/>
    <x v="0"/>
    <x v="71"/>
    <n v="1"/>
  </r>
  <r>
    <n v="639"/>
    <n v="1"/>
    <n v="7"/>
    <n v="2"/>
    <n v="201"/>
    <x v="6"/>
    <x v="0"/>
    <x v="0"/>
    <x v="71"/>
    <n v="1"/>
  </r>
  <r>
    <n v="640"/>
    <n v="1"/>
    <n v="7"/>
    <n v="2"/>
    <n v="202"/>
    <x v="7"/>
    <x v="0"/>
    <x v="1"/>
    <x v="69"/>
    <n v="1"/>
  </r>
  <r>
    <n v="641"/>
    <n v="1"/>
    <n v="7"/>
    <n v="2"/>
    <n v="203"/>
    <x v="15"/>
    <x v="0"/>
    <x v="0"/>
    <x v="78"/>
    <n v="1"/>
  </r>
  <r>
    <n v="642"/>
    <n v="1"/>
    <n v="7"/>
    <n v="3"/>
    <n v="301"/>
    <x v="6"/>
    <x v="0"/>
    <x v="0"/>
    <x v="71"/>
    <n v="1"/>
  </r>
  <r>
    <n v="643"/>
    <n v="1"/>
    <n v="7"/>
    <n v="3"/>
    <n v="302"/>
    <x v="7"/>
    <x v="0"/>
    <x v="1"/>
    <x v="69"/>
    <n v="1"/>
  </r>
  <r>
    <n v="644"/>
    <n v="1"/>
    <n v="7"/>
    <n v="3"/>
    <n v="303"/>
    <x v="15"/>
    <x v="0"/>
    <x v="0"/>
    <x v="78"/>
    <n v="1"/>
  </r>
  <r>
    <n v="645"/>
    <n v="1"/>
    <n v="7"/>
    <n v="4"/>
    <n v="401"/>
    <x v="6"/>
    <x v="0"/>
    <x v="0"/>
    <x v="71"/>
    <n v="1"/>
  </r>
  <r>
    <n v="646"/>
    <n v="1"/>
    <n v="7"/>
    <n v="4"/>
    <n v="402"/>
    <x v="7"/>
    <x v="0"/>
    <x v="1"/>
    <x v="69"/>
    <n v="1"/>
  </r>
  <r>
    <n v="647"/>
    <n v="1"/>
    <n v="7"/>
    <n v="4"/>
    <n v="403"/>
    <x v="15"/>
    <x v="0"/>
    <x v="0"/>
    <x v="78"/>
    <n v="1"/>
  </r>
  <r>
    <n v="648"/>
    <n v="1"/>
    <n v="7"/>
    <n v="5"/>
    <n v="501"/>
    <x v="6"/>
    <x v="0"/>
    <x v="0"/>
    <x v="71"/>
    <n v="1"/>
  </r>
  <r>
    <n v="649"/>
    <n v="1"/>
    <n v="7"/>
    <n v="5"/>
    <n v="502"/>
    <x v="7"/>
    <x v="0"/>
    <x v="1"/>
    <x v="69"/>
    <n v="1"/>
  </r>
  <r>
    <n v="650"/>
    <n v="1"/>
    <n v="7"/>
    <n v="5"/>
    <n v="503"/>
    <x v="15"/>
    <x v="0"/>
    <x v="0"/>
    <x v="78"/>
    <n v="1"/>
  </r>
  <r>
    <n v="651"/>
    <n v="1"/>
    <n v="7"/>
    <n v="6"/>
    <n v="601"/>
    <x v="6"/>
    <x v="0"/>
    <x v="0"/>
    <x v="71"/>
    <n v="1"/>
  </r>
  <r>
    <n v="652"/>
    <n v="1"/>
    <n v="7"/>
    <n v="6"/>
    <n v="602"/>
    <x v="7"/>
    <x v="0"/>
    <x v="1"/>
    <x v="69"/>
    <n v="1"/>
  </r>
  <r>
    <n v="653"/>
    <n v="1"/>
    <n v="7"/>
    <n v="6"/>
    <n v="603"/>
    <x v="15"/>
    <x v="0"/>
    <x v="0"/>
    <x v="78"/>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1D850F0-F265-4A6F-8CF5-043E5F040767}" name="数据透视表4"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AA2:AB106" firstHeaderRow="1" firstDataRow="1" firstDataCol="1"/>
  <pivotFields count="11">
    <pivotField showAll="0"/>
    <pivotField showAll="0"/>
    <pivotField showAll="0"/>
    <pivotField showAll="0"/>
    <pivotField showAll="0"/>
    <pivotField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3">
    <field x="6"/>
    <field x="7"/>
    <field x="8"/>
  </rowFields>
  <rowItems count="104">
    <i>
      <x/>
    </i>
    <i r="1">
      <x/>
    </i>
    <i r="2">
      <x v="45"/>
    </i>
    <i r="2">
      <x v="47"/>
    </i>
    <i r="2">
      <x v="56"/>
    </i>
    <i r="2">
      <x v="73"/>
    </i>
    <i r="1">
      <x v="1"/>
    </i>
    <i r="2">
      <x v="11"/>
    </i>
    <i r="1">
      <x v="2"/>
    </i>
    <i r="2">
      <x v="23"/>
    </i>
    <i r="2">
      <x v="33"/>
    </i>
    <i r="2">
      <x v="36"/>
    </i>
    <i r="2">
      <x v="38"/>
    </i>
    <i r="2">
      <x v="50"/>
    </i>
    <i r="2">
      <x v="51"/>
    </i>
    <i r="2">
      <x v="71"/>
    </i>
    <i r="2">
      <x v="77"/>
    </i>
    <i r="1">
      <x v="3"/>
    </i>
    <i r="2">
      <x v="41"/>
    </i>
    <i r="2">
      <x v="45"/>
    </i>
    <i r="2">
      <x v="56"/>
    </i>
    <i r="2">
      <x v="57"/>
    </i>
    <i r="2">
      <x v="59"/>
    </i>
    <i r="2">
      <x v="60"/>
    </i>
    <i r="2">
      <x v="61"/>
    </i>
    <i r="2">
      <x v="63"/>
    </i>
    <i r="2">
      <x v="65"/>
    </i>
    <i r="2">
      <x v="66"/>
    </i>
    <i r="2">
      <x v="74"/>
    </i>
    <i r="2">
      <x v="75"/>
    </i>
    <i r="2">
      <x v="76"/>
    </i>
    <i r="1">
      <x v="4"/>
    </i>
    <i r="2">
      <x v="18"/>
    </i>
    <i r="2">
      <x v="19"/>
    </i>
    <i r="2">
      <x v="20"/>
    </i>
    <i r="2">
      <x v="21"/>
    </i>
    <i r="2">
      <x v="22"/>
    </i>
    <i r="2">
      <x v="24"/>
    </i>
    <i r="2">
      <x v="25"/>
    </i>
    <i r="2">
      <x v="26"/>
    </i>
    <i r="2">
      <x v="27"/>
    </i>
    <i r="2">
      <x v="28"/>
    </i>
    <i r="2">
      <x v="29"/>
    </i>
    <i r="2">
      <x v="30"/>
    </i>
    <i r="2">
      <x v="31"/>
    </i>
    <i r="2">
      <x v="32"/>
    </i>
    <i r="2">
      <x v="34"/>
    </i>
    <i r="2">
      <x v="35"/>
    </i>
    <i r="2">
      <x v="37"/>
    </i>
    <i r="2">
      <x v="39"/>
    </i>
    <i r="2">
      <x v="40"/>
    </i>
    <i r="2">
      <x v="42"/>
    </i>
    <i r="2">
      <x v="43"/>
    </i>
    <i r="2">
      <x v="44"/>
    </i>
    <i r="2">
      <x v="46"/>
    </i>
    <i r="2">
      <x v="48"/>
    </i>
    <i r="2">
      <x v="49"/>
    </i>
    <i r="2">
      <x v="54"/>
    </i>
    <i r="2">
      <x v="55"/>
    </i>
    <i r="2">
      <x v="64"/>
    </i>
    <i r="2">
      <x v="67"/>
    </i>
    <i r="2">
      <x v="68"/>
    </i>
    <i r="2">
      <x v="69"/>
    </i>
    <i r="2">
      <x v="70"/>
    </i>
    <i r="2">
      <x v="72"/>
    </i>
    <i r="2">
      <x v="78"/>
    </i>
    <i r="1">
      <x v="5"/>
    </i>
    <i r="2">
      <x v="56"/>
    </i>
    <i r="2">
      <x v="60"/>
    </i>
    <i r="2">
      <x v="62"/>
    </i>
    <i r="1">
      <x v="6"/>
    </i>
    <i r="2">
      <x v="11"/>
    </i>
    <i r="2">
      <x v="12"/>
    </i>
    <i>
      <x v="1"/>
    </i>
    <i r="1">
      <x v="2"/>
    </i>
    <i r="2">
      <x v="52"/>
    </i>
    <i r="2">
      <x v="53"/>
    </i>
    <i r="1">
      <x v="3"/>
    </i>
    <i r="2">
      <x v="58"/>
    </i>
    <i>
      <x v="2"/>
    </i>
    <i r="1">
      <x/>
    </i>
    <i r="2">
      <x/>
    </i>
    <i r="2">
      <x v="3"/>
    </i>
    <i r="2">
      <x v="5"/>
    </i>
    <i r="1">
      <x v="1"/>
    </i>
    <i r="2">
      <x v="6"/>
    </i>
    <i r="1">
      <x v="2"/>
    </i>
    <i r="2">
      <x v="1"/>
    </i>
    <i r="1">
      <x v="3"/>
    </i>
    <i r="2">
      <x v="7"/>
    </i>
    <i r="2">
      <x v="9"/>
    </i>
    <i r="2">
      <x v="14"/>
    </i>
    <i r="2">
      <x v="15"/>
    </i>
    <i r="2">
      <x v="16"/>
    </i>
    <i r="1">
      <x v="4"/>
    </i>
    <i r="2">
      <x v="8"/>
    </i>
    <i r="2">
      <x v="10"/>
    </i>
    <i r="2">
      <x v="13"/>
    </i>
    <i r="1">
      <x v="5"/>
    </i>
    <i r="2">
      <x v="2"/>
    </i>
    <i r="2">
      <x v="4"/>
    </i>
    <i r="1">
      <x v="6"/>
    </i>
    <i r="2">
      <x v="17"/>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72149ED-1A35-4E43-8F4A-8405B3EA1E43}" name="数据透视表1"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P2:Q216" firstHeaderRow="1" firstDataRow="1" firstDataCol="1"/>
  <pivotFields count="11">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4">
    <field x="6"/>
    <field x="7"/>
    <field x="8"/>
    <field x="5"/>
  </rowFields>
  <rowItems count="214">
    <i>
      <x/>
    </i>
    <i r="1">
      <x/>
    </i>
    <i r="2">
      <x v="45"/>
    </i>
    <i r="3">
      <x v="17"/>
    </i>
    <i r="2">
      <x v="47"/>
    </i>
    <i r="3">
      <x v="17"/>
    </i>
    <i r="2">
      <x v="56"/>
    </i>
    <i r="3">
      <x v="13"/>
    </i>
    <i r="2">
      <x v="73"/>
    </i>
    <i r="3">
      <x v="35"/>
    </i>
    <i r="1">
      <x v="1"/>
    </i>
    <i r="2">
      <x v="11"/>
    </i>
    <i r="3">
      <x v="22"/>
    </i>
    <i r="1">
      <x v="2"/>
    </i>
    <i r="2">
      <x v="23"/>
    </i>
    <i r="3">
      <x v="29"/>
    </i>
    <i r="2">
      <x v="33"/>
    </i>
    <i r="3">
      <x v="8"/>
    </i>
    <i r="3">
      <x v="12"/>
    </i>
    <i r="2">
      <x v="36"/>
    </i>
    <i r="3">
      <x v="8"/>
    </i>
    <i r="3">
      <x v="12"/>
    </i>
    <i r="2">
      <x v="38"/>
    </i>
    <i r="3">
      <x v="12"/>
    </i>
    <i r="2">
      <x v="50"/>
    </i>
    <i r="3">
      <x v="4"/>
    </i>
    <i r="2">
      <x v="51"/>
    </i>
    <i r="3">
      <x v="4"/>
    </i>
    <i r="2">
      <x v="71"/>
    </i>
    <i r="3">
      <x v="3"/>
    </i>
    <i r="2">
      <x v="77"/>
    </i>
    <i r="3">
      <x v="45"/>
    </i>
    <i r="1">
      <x v="3"/>
    </i>
    <i r="2">
      <x v="41"/>
    </i>
    <i r="3">
      <x v="13"/>
    </i>
    <i r="3">
      <x v="17"/>
    </i>
    <i r="2">
      <x v="45"/>
    </i>
    <i r="3">
      <x v="13"/>
    </i>
    <i r="3">
      <x v="17"/>
    </i>
    <i r="2">
      <x v="56"/>
    </i>
    <i r="3">
      <x v="17"/>
    </i>
    <i r="2">
      <x v="57"/>
    </i>
    <i r="3">
      <x v="17"/>
    </i>
    <i r="2">
      <x v="59"/>
    </i>
    <i r="3">
      <x v="14"/>
    </i>
    <i r="3">
      <x v="15"/>
    </i>
    <i r="2">
      <x v="60"/>
    </i>
    <i r="3">
      <x v="13"/>
    </i>
    <i r="2">
      <x v="61"/>
    </i>
    <i r="3">
      <x v="13"/>
    </i>
    <i r="3">
      <x v="17"/>
    </i>
    <i r="2">
      <x v="63"/>
    </i>
    <i r="3">
      <x v="17"/>
    </i>
    <i r="2">
      <x v="65"/>
    </i>
    <i r="3">
      <x v="14"/>
    </i>
    <i r="3">
      <x v="15"/>
    </i>
    <i r="2">
      <x v="66"/>
    </i>
    <i r="3">
      <x v="14"/>
    </i>
    <i r="3">
      <x v="15"/>
    </i>
    <i r="2">
      <x v="74"/>
    </i>
    <i r="3">
      <x v="25"/>
    </i>
    <i r="3">
      <x v="28"/>
    </i>
    <i r="2">
      <x v="75"/>
    </i>
    <i r="3">
      <x v="28"/>
    </i>
    <i r="2">
      <x v="76"/>
    </i>
    <i r="3">
      <x v="28"/>
    </i>
    <i r="1">
      <x v="4"/>
    </i>
    <i r="2">
      <x v="18"/>
    </i>
    <i r="3">
      <x v="19"/>
    </i>
    <i r="3">
      <x v="20"/>
    </i>
    <i r="2">
      <x v="19"/>
    </i>
    <i r="3">
      <x v="19"/>
    </i>
    <i r="2">
      <x v="20"/>
    </i>
    <i r="3">
      <x v="18"/>
    </i>
    <i r="2">
      <x v="21"/>
    </i>
    <i r="3">
      <x v="18"/>
    </i>
    <i r="2">
      <x v="22"/>
    </i>
    <i r="3">
      <x v="11"/>
    </i>
    <i r="2">
      <x v="24"/>
    </i>
    <i r="3">
      <x v="41"/>
    </i>
    <i r="2">
      <x v="25"/>
    </i>
    <i r="3">
      <x v="1"/>
    </i>
    <i r="3">
      <x v="2"/>
    </i>
    <i r="2">
      <x v="26"/>
    </i>
    <i r="3">
      <x v="8"/>
    </i>
    <i r="3">
      <x v="12"/>
    </i>
    <i r="2">
      <x v="27"/>
    </i>
    <i r="3">
      <x v="1"/>
    </i>
    <i r="3">
      <x v="2"/>
    </i>
    <i r="2">
      <x v="28"/>
    </i>
    <i r="3">
      <x v="1"/>
    </i>
    <i r="3">
      <x v="2"/>
    </i>
    <i r="2">
      <x v="29"/>
    </i>
    <i r="3">
      <x v="8"/>
    </i>
    <i r="3">
      <x v="12"/>
    </i>
    <i r="2">
      <x v="30"/>
    </i>
    <i r="3">
      <x v="12"/>
    </i>
    <i r="2">
      <x v="31"/>
    </i>
    <i r="3">
      <x v="12"/>
    </i>
    <i r="2">
      <x v="32"/>
    </i>
    <i r="3">
      <x v="12"/>
    </i>
    <i r="2">
      <x v="34"/>
    </i>
    <i r="3">
      <x v="9"/>
    </i>
    <i r="3">
      <x v="10"/>
    </i>
    <i r="2">
      <x v="35"/>
    </i>
    <i r="3">
      <x v="8"/>
    </i>
    <i r="3">
      <x v="12"/>
    </i>
    <i r="2">
      <x v="37"/>
    </i>
    <i r="3">
      <x v="8"/>
    </i>
    <i r="2">
      <x v="39"/>
    </i>
    <i r="3">
      <x v="9"/>
    </i>
    <i r="3">
      <x v="10"/>
    </i>
    <i r="2">
      <x v="40"/>
    </i>
    <i r="3">
      <x v="9"/>
    </i>
    <i r="3">
      <x v="10"/>
    </i>
    <i r="2">
      <x v="42"/>
    </i>
    <i r="3">
      <x/>
    </i>
    <i r="3">
      <x v="7"/>
    </i>
    <i r="2">
      <x v="43"/>
    </i>
    <i r="3">
      <x v="8"/>
    </i>
    <i r="2">
      <x v="44"/>
    </i>
    <i r="3">
      <x v="12"/>
    </i>
    <i r="2">
      <x v="46"/>
    </i>
    <i r="3">
      <x v="9"/>
    </i>
    <i r="2">
      <x v="48"/>
    </i>
    <i r="3">
      <x/>
    </i>
    <i r="3">
      <x v="7"/>
    </i>
    <i r="2">
      <x v="49"/>
    </i>
    <i r="3">
      <x v="7"/>
    </i>
    <i r="2">
      <x v="54"/>
    </i>
    <i r="3">
      <x v="30"/>
    </i>
    <i r="2">
      <x v="55"/>
    </i>
    <i r="3">
      <x v="42"/>
    </i>
    <i r="2">
      <x v="64"/>
    </i>
    <i r="3">
      <x v="7"/>
    </i>
    <i r="2">
      <x v="67"/>
    </i>
    <i r="3">
      <x/>
    </i>
    <i r="2">
      <x v="68"/>
    </i>
    <i r="3">
      <x/>
    </i>
    <i r="3">
      <x v="7"/>
    </i>
    <i r="2">
      <x v="69"/>
    </i>
    <i r="3">
      <x v="7"/>
    </i>
    <i r="2">
      <x v="70"/>
    </i>
    <i r="3">
      <x v="7"/>
    </i>
    <i r="2">
      <x v="72"/>
    </i>
    <i r="3">
      <x v="37"/>
    </i>
    <i r="2">
      <x v="78"/>
    </i>
    <i r="3">
      <x v="31"/>
    </i>
    <i r="1">
      <x v="5"/>
    </i>
    <i r="2">
      <x v="56"/>
    </i>
    <i r="3">
      <x v="17"/>
    </i>
    <i r="2">
      <x v="60"/>
    </i>
    <i r="3">
      <x v="17"/>
    </i>
    <i r="2">
      <x v="62"/>
    </i>
    <i r="3">
      <x v="13"/>
    </i>
    <i r="3">
      <x v="17"/>
    </i>
    <i r="1">
      <x v="6"/>
    </i>
    <i r="2">
      <x v="11"/>
    </i>
    <i r="3">
      <x v="21"/>
    </i>
    <i r="2">
      <x v="12"/>
    </i>
    <i r="3">
      <x v="21"/>
    </i>
    <i>
      <x v="1"/>
    </i>
    <i r="1">
      <x v="2"/>
    </i>
    <i r="2">
      <x v="52"/>
    </i>
    <i r="3">
      <x v="23"/>
    </i>
    <i r="3">
      <x v="24"/>
    </i>
    <i r="2">
      <x v="53"/>
    </i>
    <i r="3">
      <x v="23"/>
    </i>
    <i r="1">
      <x v="3"/>
    </i>
    <i r="2">
      <x v="58"/>
    </i>
    <i r="3">
      <x v="47"/>
    </i>
    <i>
      <x v="2"/>
    </i>
    <i r="1">
      <x/>
    </i>
    <i r="2">
      <x/>
    </i>
    <i r="3">
      <x v="46"/>
    </i>
    <i r="2">
      <x v="3"/>
    </i>
    <i r="3">
      <x v="34"/>
    </i>
    <i r="2">
      <x v="5"/>
    </i>
    <i r="3">
      <x v="44"/>
    </i>
    <i r="1">
      <x v="1"/>
    </i>
    <i r="2">
      <x v="6"/>
    </i>
    <i r="3">
      <x v="43"/>
    </i>
    <i r="1">
      <x v="2"/>
    </i>
    <i r="2">
      <x v="1"/>
    </i>
    <i r="3">
      <x v="40"/>
    </i>
    <i r="1">
      <x v="3"/>
    </i>
    <i r="2">
      <x v="7"/>
    </i>
    <i r="3">
      <x v="16"/>
    </i>
    <i r="2">
      <x v="9"/>
    </i>
    <i r="3">
      <x v="32"/>
    </i>
    <i r="2">
      <x v="14"/>
    </i>
    <i r="3">
      <x v="33"/>
    </i>
    <i r="2">
      <x v="15"/>
    </i>
    <i r="3">
      <x v="27"/>
    </i>
    <i r="2">
      <x v="16"/>
    </i>
    <i r="3">
      <x v="26"/>
    </i>
    <i r="1">
      <x v="4"/>
    </i>
    <i r="2">
      <x v="8"/>
    </i>
    <i r="3">
      <x v="5"/>
    </i>
    <i r="3">
      <x v="6"/>
    </i>
    <i r="2">
      <x v="10"/>
    </i>
    <i r="3">
      <x v="5"/>
    </i>
    <i r="3">
      <x v="6"/>
    </i>
    <i r="2">
      <x v="13"/>
    </i>
    <i r="3">
      <x v="6"/>
    </i>
    <i r="1">
      <x v="5"/>
    </i>
    <i r="2">
      <x v="2"/>
    </i>
    <i r="3">
      <x v="39"/>
    </i>
    <i r="2">
      <x v="4"/>
    </i>
    <i r="3">
      <x v="36"/>
    </i>
    <i r="1">
      <x v="6"/>
    </i>
    <i r="2">
      <x v="17"/>
    </i>
    <i r="3">
      <x v="38"/>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02E41F7-F54D-4390-96C7-042F47738D31}" name="数据透视表5"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AD2:AE162" firstHeaderRow="1" firstDataRow="1" firstDataCol="1"/>
  <pivotFields count="11">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3">
    <field x="6"/>
    <field x="5"/>
    <field x="8"/>
  </rowFields>
  <rowItems count="160">
    <i>
      <x/>
    </i>
    <i r="1">
      <x/>
    </i>
    <i r="2">
      <x v="42"/>
    </i>
    <i r="2">
      <x v="48"/>
    </i>
    <i r="2">
      <x v="67"/>
    </i>
    <i r="2">
      <x v="68"/>
    </i>
    <i r="1">
      <x v="1"/>
    </i>
    <i r="2">
      <x v="25"/>
    </i>
    <i r="2">
      <x v="27"/>
    </i>
    <i r="2">
      <x v="28"/>
    </i>
    <i r="1">
      <x v="2"/>
    </i>
    <i r="2">
      <x v="25"/>
    </i>
    <i r="2">
      <x v="27"/>
    </i>
    <i r="2">
      <x v="28"/>
    </i>
    <i r="1">
      <x v="3"/>
    </i>
    <i r="2">
      <x v="71"/>
    </i>
    <i r="1">
      <x v="4"/>
    </i>
    <i r="2">
      <x v="50"/>
    </i>
    <i r="2">
      <x v="51"/>
    </i>
    <i r="1">
      <x v="7"/>
    </i>
    <i r="2">
      <x v="42"/>
    </i>
    <i r="2">
      <x v="48"/>
    </i>
    <i r="2">
      <x v="49"/>
    </i>
    <i r="2">
      <x v="64"/>
    </i>
    <i r="2">
      <x v="68"/>
    </i>
    <i r="2">
      <x v="69"/>
    </i>
    <i r="2">
      <x v="70"/>
    </i>
    <i r="1">
      <x v="8"/>
    </i>
    <i r="2">
      <x v="26"/>
    </i>
    <i r="2">
      <x v="29"/>
    </i>
    <i r="2">
      <x v="33"/>
    </i>
    <i r="2">
      <x v="35"/>
    </i>
    <i r="2">
      <x v="36"/>
    </i>
    <i r="2">
      <x v="37"/>
    </i>
    <i r="2">
      <x v="43"/>
    </i>
    <i r="1">
      <x v="9"/>
    </i>
    <i r="2">
      <x v="34"/>
    </i>
    <i r="2">
      <x v="39"/>
    </i>
    <i r="2">
      <x v="40"/>
    </i>
    <i r="2">
      <x v="46"/>
    </i>
    <i r="1">
      <x v="10"/>
    </i>
    <i r="2">
      <x v="34"/>
    </i>
    <i r="2">
      <x v="39"/>
    </i>
    <i r="2">
      <x v="40"/>
    </i>
    <i r="1">
      <x v="11"/>
    </i>
    <i r="2">
      <x v="22"/>
    </i>
    <i r="1">
      <x v="12"/>
    </i>
    <i r="2">
      <x v="26"/>
    </i>
    <i r="2">
      <x v="29"/>
    </i>
    <i r="2">
      <x v="30"/>
    </i>
    <i r="2">
      <x v="31"/>
    </i>
    <i r="2">
      <x v="32"/>
    </i>
    <i r="2">
      <x v="33"/>
    </i>
    <i r="2">
      <x v="35"/>
    </i>
    <i r="2">
      <x v="36"/>
    </i>
    <i r="2">
      <x v="38"/>
    </i>
    <i r="2">
      <x v="44"/>
    </i>
    <i r="1">
      <x v="13"/>
    </i>
    <i r="2">
      <x v="41"/>
    </i>
    <i r="2">
      <x v="45"/>
    </i>
    <i r="2">
      <x v="56"/>
    </i>
    <i r="2">
      <x v="60"/>
    </i>
    <i r="2">
      <x v="61"/>
    </i>
    <i r="2">
      <x v="62"/>
    </i>
    <i r="1">
      <x v="14"/>
    </i>
    <i r="2">
      <x v="59"/>
    </i>
    <i r="2">
      <x v="65"/>
    </i>
    <i r="2">
      <x v="66"/>
    </i>
    <i r="1">
      <x v="15"/>
    </i>
    <i r="2">
      <x v="59"/>
    </i>
    <i r="2">
      <x v="65"/>
    </i>
    <i r="2">
      <x v="66"/>
    </i>
    <i r="1">
      <x v="17"/>
    </i>
    <i r="2">
      <x v="41"/>
    </i>
    <i r="2">
      <x v="45"/>
    </i>
    <i r="2">
      <x v="47"/>
    </i>
    <i r="2">
      <x v="56"/>
    </i>
    <i r="2">
      <x v="57"/>
    </i>
    <i r="2">
      <x v="60"/>
    </i>
    <i r="2">
      <x v="61"/>
    </i>
    <i r="2">
      <x v="62"/>
    </i>
    <i r="2">
      <x v="63"/>
    </i>
    <i r="1">
      <x v="18"/>
    </i>
    <i r="2">
      <x v="20"/>
    </i>
    <i r="2">
      <x v="21"/>
    </i>
    <i r="1">
      <x v="19"/>
    </i>
    <i r="2">
      <x v="18"/>
    </i>
    <i r="2">
      <x v="19"/>
    </i>
    <i r="1">
      <x v="20"/>
    </i>
    <i r="2">
      <x v="18"/>
    </i>
    <i r="1">
      <x v="21"/>
    </i>
    <i r="2">
      <x v="11"/>
    </i>
    <i r="2">
      <x v="12"/>
    </i>
    <i r="1">
      <x v="22"/>
    </i>
    <i r="2">
      <x v="11"/>
    </i>
    <i r="1">
      <x v="25"/>
    </i>
    <i r="2">
      <x v="74"/>
    </i>
    <i r="1">
      <x v="28"/>
    </i>
    <i r="2">
      <x v="74"/>
    </i>
    <i r="2">
      <x v="75"/>
    </i>
    <i r="2">
      <x v="76"/>
    </i>
    <i r="1">
      <x v="29"/>
    </i>
    <i r="2">
      <x v="23"/>
    </i>
    <i r="1">
      <x v="30"/>
    </i>
    <i r="2">
      <x v="54"/>
    </i>
    <i r="1">
      <x v="31"/>
    </i>
    <i r="2">
      <x v="78"/>
    </i>
    <i r="1">
      <x v="35"/>
    </i>
    <i r="2">
      <x v="73"/>
    </i>
    <i r="1">
      <x v="37"/>
    </i>
    <i r="2">
      <x v="72"/>
    </i>
    <i r="1">
      <x v="41"/>
    </i>
    <i r="2">
      <x v="24"/>
    </i>
    <i r="1">
      <x v="42"/>
    </i>
    <i r="2">
      <x v="55"/>
    </i>
    <i r="1">
      <x v="45"/>
    </i>
    <i r="2">
      <x v="77"/>
    </i>
    <i>
      <x v="1"/>
    </i>
    <i r="1">
      <x v="23"/>
    </i>
    <i r="2">
      <x v="52"/>
    </i>
    <i r="2">
      <x v="53"/>
    </i>
    <i r="1">
      <x v="24"/>
    </i>
    <i r="2">
      <x v="52"/>
    </i>
    <i r="1">
      <x v="47"/>
    </i>
    <i r="2">
      <x v="58"/>
    </i>
    <i>
      <x v="2"/>
    </i>
    <i r="1">
      <x v="5"/>
    </i>
    <i r="2">
      <x v="8"/>
    </i>
    <i r="2">
      <x v="10"/>
    </i>
    <i r="1">
      <x v="6"/>
    </i>
    <i r="2">
      <x v="8"/>
    </i>
    <i r="2">
      <x v="10"/>
    </i>
    <i r="2">
      <x v="13"/>
    </i>
    <i r="1">
      <x v="16"/>
    </i>
    <i r="2">
      <x v="7"/>
    </i>
    <i r="1">
      <x v="26"/>
    </i>
    <i r="2">
      <x v="16"/>
    </i>
    <i r="1">
      <x v="27"/>
    </i>
    <i r="2">
      <x v="15"/>
    </i>
    <i r="1">
      <x v="32"/>
    </i>
    <i r="2">
      <x v="9"/>
    </i>
    <i r="1">
      <x v="33"/>
    </i>
    <i r="2">
      <x v="14"/>
    </i>
    <i r="1">
      <x v="34"/>
    </i>
    <i r="2">
      <x v="3"/>
    </i>
    <i r="1">
      <x v="36"/>
    </i>
    <i r="2">
      <x v="4"/>
    </i>
    <i r="1">
      <x v="38"/>
    </i>
    <i r="2">
      <x v="17"/>
    </i>
    <i r="1">
      <x v="39"/>
    </i>
    <i r="2">
      <x v="2"/>
    </i>
    <i r="1">
      <x v="40"/>
    </i>
    <i r="2">
      <x v="1"/>
    </i>
    <i r="1">
      <x v="43"/>
    </i>
    <i r="2">
      <x v="6"/>
    </i>
    <i r="1">
      <x v="44"/>
    </i>
    <i r="2">
      <x v="5"/>
    </i>
    <i r="1">
      <x v="46"/>
    </i>
    <i r="2">
      <x/>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8110A48-0D05-4456-99F2-320662E65A79}" name="数据透视表2" cacheId="1"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T2:U216" firstHeaderRow="1" firstDataRow="1" firstDataCol="1"/>
  <pivotFields count="10">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s>
  <rowFields count="4">
    <field x="6"/>
    <field x="7"/>
    <field x="8"/>
    <field x="5"/>
  </rowFields>
  <rowItems count="214">
    <i>
      <x/>
    </i>
    <i r="1">
      <x/>
    </i>
    <i r="2">
      <x v="45"/>
    </i>
    <i r="3">
      <x v="17"/>
    </i>
    <i r="2">
      <x v="47"/>
    </i>
    <i r="3">
      <x v="17"/>
    </i>
    <i r="2">
      <x v="56"/>
    </i>
    <i r="3">
      <x v="13"/>
    </i>
    <i r="2">
      <x v="73"/>
    </i>
    <i r="3">
      <x v="35"/>
    </i>
    <i r="1">
      <x v="1"/>
    </i>
    <i r="2">
      <x v="11"/>
    </i>
    <i r="3">
      <x v="22"/>
    </i>
    <i r="1">
      <x v="2"/>
    </i>
    <i r="2">
      <x v="23"/>
    </i>
    <i r="3">
      <x v="29"/>
    </i>
    <i r="2">
      <x v="33"/>
    </i>
    <i r="3">
      <x v="8"/>
    </i>
    <i r="3">
      <x v="12"/>
    </i>
    <i r="2">
      <x v="36"/>
    </i>
    <i r="3">
      <x v="8"/>
    </i>
    <i r="3">
      <x v="12"/>
    </i>
    <i r="2">
      <x v="38"/>
    </i>
    <i r="3">
      <x v="12"/>
    </i>
    <i r="2">
      <x v="50"/>
    </i>
    <i r="3">
      <x v="4"/>
    </i>
    <i r="2">
      <x v="51"/>
    </i>
    <i r="3">
      <x v="4"/>
    </i>
    <i r="2">
      <x v="71"/>
    </i>
    <i r="3">
      <x v="3"/>
    </i>
    <i r="2">
      <x v="77"/>
    </i>
    <i r="3">
      <x v="45"/>
    </i>
    <i r="1">
      <x v="3"/>
    </i>
    <i r="2">
      <x v="41"/>
    </i>
    <i r="3">
      <x v="13"/>
    </i>
    <i r="3">
      <x v="17"/>
    </i>
    <i r="2">
      <x v="45"/>
    </i>
    <i r="3">
      <x v="13"/>
    </i>
    <i r="3">
      <x v="17"/>
    </i>
    <i r="2">
      <x v="56"/>
    </i>
    <i r="3">
      <x v="17"/>
    </i>
    <i r="2">
      <x v="57"/>
    </i>
    <i r="3">
      <x v="17"/>
    </i>
    <i r="2">
      <x v="59"/>
    </i>
    <i r="3">
      <x v="14"/>
    </i>
    <i r="3">
      <x v="15"/>
    </i>
    <i r="2">
      <x v="60"/>
    </i>
    <i r="3">
      <x v="13"/>
    </i>
    <i r="2">
      <x v="61"/>
    </i>
    <i r="3">
      <x v="13"/>
    </i>
    <i r="3">
      <x v="17"/>
    </i>
    <i r="2">
      <x v="63"/>
    </i>
    <i r="3">
      <x v="17"/>
    </i>
    <i r="2">
      <x v="65"/>
    </i>
    <i r="3">
      <x v="14"/>
    </i>
    <i r="3">
      <x v="15"/>
    </i>
    <i r="2">
      <x v="66"/>
    </i>
    <i r="3">
      <x v="14"/>
    </i>
    <i r="3">
      <x v="15"/>
    </i>
    <i r="2">
      <x v="74"/>
    </i>
    <i r="3">
      <x v="25"/>
    </i>
    <i r="3">
      <x v="28"/>
    </i>
    <i r="2">
      <x v="75"/>
    </i>
    <i r="3">
      <x v="28"/>
    </i>
    <i r="2">
      <x v="76"/>
    </i>
    <i r="3">
      <x v="28"/>
    </i>
    <i r="1">
      <x v="4"/>
    </i>
    <i r="2">
      <x v="18"/>
    </i>
    <i r="3">
      <x v="19"/>
    </i>
    <i r="3">
      <x v="20"/>
    </i>
    <i r="2">
      <x v="19"/>
    </i>
    <i r="3">
      <x v="19"/>
    </i>
    <i r="2">
      <x v="20"/>
    </i>
    <i r="3">
      <x v="18"/>
    </i>
    <i r="2">
      <x v="21"/>
    </i>
    <i r="3">
      <x v="18"/>
    </i>
    <i r="2">
      <x v="22"/>
    </i>
    <i r="3">
      <x v="11"/>
    </i>
    <i r="2">
      <x v="24"/>
    </i>
    <i r="3">
      <x v="41"/>
    </i>
    <i r="2">
      <x v="25"/>
    </i>
    <i r="3">
      <x v="1"/>
    </i>
    <i r="3">
      <x v="2"/>
    </i>
    <i r="2">
      <x v="26"/>
    </i>
    <i r="3">
      <x v="8"/>
    </i>
    <i r="3">
      <x v="12"/>
    </i>
    <i r="2">
      <x v="27"/>
    </i>
    <i r="3">
      <x v="1"/>
    </i>
    <i r="3">
      <x v="2"/>
    </i>
    <i r="2">
      <x v="28"/>
    </i>
    <i r="3">
      <x v="1"/>
    </i>
    <i r="3">
      <x v="2"/>
    </i>
    <i r="2">
      <x v="29"/>
    </i>
    <i r="3">
      <x v="8"/>
    </i>
    <i r="3">
      <x v="12"/>
    </i>
    <i r="2">
      <x v="30"/>
    </i>
    <i r="3">
      <x v="12"/>
    </i>
    <i r="2">
      <x v="31"/>
    </i>
    <i r="3">
      <x v="12"/>
    </i>
    <i r="2">
      <x v="32"/>
    </i>
    <i r="3">
      <x v="12"/>
    </i>
    <i r="2">
      <x v="34"/>
    </i>
    <i r="3">
      <x v="9"/>
    </i>
    <i r="3">
      <x v="10"/>
    </i>
    <i r="2">
      <x v="35"/>
    </i>
    <i r="3">
      <x v="8"/>
    </i>
    <i r="3">
      <x v="12"/>
    </i>
    <i r="2">
      <x v="37"/>
    </i>
    <i r="3">
      <x v="8"/>
    </i>
    <i r="2">
      <x v="39"/>
    </i>
    <i r="3">
      <x v="9"/>
    </i>
    <i r="3">
      <x v="10"/>
    </i>
    <i r="2">
      <x v="40"/>
    </i>
    <i r="3">
      <x v="9"/>
    </i>
    <i r="3">
      <x v="10"/>
    </i>
    <i r="2">
      <x v="42"/>
    </i>
    <i r="3">
      <x/>
    </i>
    <i r="3">
      <x v="7"/>
    </i>
    <i r="2">
      <x v="43"/>
    </i>
    <i r="3">
      <x v="8"/>
    </i>
    <i r="2">
      <x v="44"/>
    </i>
    <i r="3">
      <x v="12"/>
    </i>
    <i r="2">
      <x v="46"/>
    </i>
    <i r="3">
      <x v="9"/>
    </i>
    <i r="2">
      <x v="48"/>
    </i>
    <i r="3">
      <x/>
    </i>
    <i r="3">
      <x v="7"/>
    </i>
    <i r="2">
      <x v="49"/>
    </i>
    <i r="3">
      <x v="7"/>
    </i>
    <i r="2">
      <x v="54"/>
    </i>
    <i r="3">
      <x v="30"/>
    </i>
    <i r="2">
      <x v="55"/>
    </i>
    <i r="3">
      <x v="42"/>
    </i>
    <i r="2">
      <x v="64"/>
    </i>
    <i r="3">
      <x v="7"/>
    </i>
    <i r="2">
      <x v="67"/>
    </i>
    <i r="3">
      <x/>
    </i>
    <i r="2">
      <x v="68"/>
    </i>
    <i r="3">
      <x/>
    </i>
    <i r="3">
      <x v="7"/>
    </i>
    <i r="2">
      <x v="69"/>
    </i>
    <i r="3">
      <x v="7"/>
    </i>
    <i r="2">
      <x v="70"/>
    </i>
    <i r="3">
      <x v="7"/>
    </i>
    <i r="2">
      <x v="72"/>
    </i>
    <i r="3">
      <x v="37"/>
    </i>
    <i r="2">
      <x v="78"/>
    </i>
    <i r="3">
      <x v="31"/>
    </i>
    <i r="1">
      <x v="5"/>
    </i>
    <i r="2">
      <x v="56"/>
    </i>
    <i r="3">
      <x v="17"/>
    </i>
    <i r="2">
      <x v="60"/>
    </i>
    <i r="3">
      <x v="17"/>
    </i>
    <i r="2">
      <x v="62"/>
    </i>
    <i r="3">
      <x v="13"/>
    </i>
    <i r="3">
      <x v="17"/>
    </i>
    <i r="1">
      <x v="6"/>
    </i>
    <i r="2">
      <x v="11"/>
    </i>
    <i r="3">
      <x v="21"/>
    </i>
    <i r="2">
      <x v="12"/>
    </i>
    <i r="3">
      <x v="21"/>
    </i>
    <i>
      <x v="1"/>
    </i>
    <i r="1">
      <x v="2"/>
    </i>
    <i r="2">
      <x v="52"/>
    </i>
    <i r="3">
      <x v="23"/>
    </i>
    <i r="3">
      <x v="24"/>
    </i>
    <i r="2">
      <x v="53"/>
    </i>
    <i r="3">
      <x v="23"/>
    </i>
    <i r="1">
      <x v="3"/>
    </i>
    <i r="2">
      <x v="58"/>
    </i>
    <i r="3">
      <x v="47"/>
    </i>
    <i>
      <x v="2"/>
    </i>
    <i r="1">
      <x/>
    </i>
    <i r="2">
      <x/>
    </i>
    <i r="3">
      <x v="46"/>
    </i>
    <i r="2">
      <x v="3"/>
    </i>
    <i r="3">
      <x v="34"/>
    </i>
    <i r="2">
      <x v="5"/>
    </i>
    <i r="3">
      <x v="44"/>
    </i>
    <i r="1">
      <x v="1"/>
    </i>
    <i r="2">
      <x v="6"/>
    </i>
    <i r="3">
      <x v="43"/>
    </i>
    <i r="1">
      <x v="2"/>
    </i>
    <i r="2">
      <x v="1"/>
    </i>
    <i r="3">
      <x v="40"/>
    </i>
    <i r="1">
      <x v="3"/>
    </i>
    <i r="2">
      <x v="7"/>
    </i>
    <i r="3">
      <x v="16"/>
    </i>
    <i r="2">
      <x v="9"/>
    </i>
    <i r="3">
      <x v="32"/>
    </i>
    <i r="2">
      <x v="14"/>
    </i>
    <i r="3">
      <x v="33"/>
    </i>
    <i r="2">
      <x v="15"/>
    </i>
    <i r="3">
      <x v="27"/>
    </i>
    <i r="2">
      <x v="16"/>
    </i>
    <i r="3">
      <x v="26"/>
    </i>
    <i r="1">
      <x v="4"/>
    </i>
    <i r="2">
      <x v="8"/>
    </i>
    <i r="3">
      <x v="5"/>
    </i>
    <i r="3">
      <x v="6"/>
    </i>
    <i r="2">
      <x v="10"/>
    </i>
    <i r="3">
      <x v="5"/>
    </i>
    <i r="3">
      <x v="6"/>
    </i>
    <i r="2">
      <x v="13"/>
    </i>
    <i r="3">
      <x v="6"/>
    </i>
    <i r="1">
      <x v="5"/>
    </i>
    <i r="2">
      <x v="2"/>
    </i>
    <i r="3">
      <x v="39"/>
    </i>
    <i r="2">
      <x v="4"/>
    </i>
    <i r="3">
      <x v="36"/>
    </i>
    <i r="1">
      <x v="6"/>
    </i>
    <i r="2">
      <x v="17"/>
    </i>
    <i r="3">
      <x v="38"/>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137CB13-9A93-44A6-85BF-1F54490ADF70}" name="数据透视表3"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X2:Y76" firstHeaderRow="1" firstDataRow="1" firstDataCol="1"/>
  <pivotFields count="11">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3">
    <field x="6"/>
    <field x="7"/>
    <field x="5"/>
  </rowFields>
  <rowItems count="74">
    <i>
      <x/>
    </i>
    <i r="1">
      <x/>
    </i>
    <i r="2">
      <x v="13"/>
    </i>
    <i r="2">
      <x v="17"/>
    </i>
    <i r="2">
      <x v="35"/>
    </i>
    <i r="1">
      <x v="1"/>
    </i>
    <i r="2">
      <x v="22"/>
    </i>
    <i r="1">
      <x v="2"/>
    </i>
    <i r="2">
      <x v="3"/>
    </i>
    <i r="2">
      <x v="4"/>
    </i>
    <i r="2">
      <x v="8"/>
    </i>
    <i r="2">
      <x v="12"/>
    </i>
    <i r="2">
      <x v="29"/>
    </i>
    <i r="2">
      <x v="45"/>
    </i>
    <i r="1">
      <x v="3"/>
    </i>
    <i r="2">
      <x v="13"/>
    </i>
    <i r="2">
      <x v="14"/>
    </i>
    <i r="2">
      <x v="15"/>
    </i>
    <i r="2">
      <x v="17"/>
    </i>
    <i r="2">
      <x v="25"/>
    </i>
    <i r="2">
      <x v="28"/>
    </i>
    <i r="1">
      <x v="4"/>
    </i>
    <i r="2">
      <x/>
    </i>
    <i r="2">
      <x v="1"/>
    </i>
    <i r="2">
      <x v="2"/>
    </i>
    <i r="2">
      <x v="7"/>
    </i>
    <i r="2">
      <x v="8"/>
    </i>
    <i r="2">
      <x v="9"/>
    </i>
    <i r="2">
      <x v="10"/>
    </i>
    <i r="2">
      <x v="11"/>
    </i>
    <i r="2">
      <x v="12"/>
    </i>
    <i r="2">
      <x v="18"/>
    </i>
    <i r="2">
      <x v="19"/>
    </i>
    <i r="2">
      <x v="20"/>
    </i>
    <i r="2">
      <x v="30"/>
    </i>
    <i r="2">
      <x v="31"/>
    </i>
    <i r="2">
      <x v="37"/>
    </i>
    <i r="2">
      <x v="41"/>
    </i>
    <i r="2">
      <x v="42"/>
    </i>
    <i r="1">
      <x v="5"/>
    </i>
    <i r="2">
      <x v="13"/>
    </i>
    <i r="2">
      <x v="17"/>
    </i>
    <i r="1">
      <x v="6"/>
    </i>
    <i r="2">
      <x v="21"/>
    </i>
    <i>
      <x v="1"/>
    </i>
    <i r="1">
      <x v="2"/>
    </i>
    <i r="2">
      <x v="23"/>
    </i>
    <i r="2">
      <x v="24"/>
    </i>
    <i r="1">
      <x v="3"/>
    </i>
    <i r="2">
      <x v="47"/>
    </i>
    <i>
      <x v="2"/>
    </i>
    <i r="1">
      <x/>
    </i>
    <i r="2">
      <x v="34"/>
    </i>
    <i r="2">
      <x v="44"/>
    </i>
    <i r="2">
      <x v="46"/>
    </i>
    <i r="1">
      <x v="1"/>
    </i>
    <i r="2">
      <x v="43"/>
    </i>
    <i r="1">
      <x v="2"/>
    </i>
    <i r="2">
      <x v="40"/>
    </i>
    <i r="1">
      <x v="3"/>
    </i>
    <i r="2">
      <x v="16"/>
    </i>
    <i r="2">
      <x v="26"/>
    </i>
    <i r="2">
      <x v="27"/>
    </i>
    <i r="2">
      <x v="32"/>
    </i>
    <i r="2">
      <x v="33"/>
    </i>
    <i r="1">
      <x v="4"/>
    </i>
    <i r="2">
      <x v="5"/>
    </i>
    <i r="2">
      <x v="6"/>
    </i>
    <i r="1">
      <x v="5"/>
    </i>
    <i r="2">
      <x v="36"/>
    </i>
    <i r="2">
      <x v="39"/>
    </i>
    <i r="1">
      <x v="6"/>
    </i>
    <i r="2">
      <x v="38"/>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5.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估价对象为北京市房地产，为所有。根据《国有土地使用证》[]，估价对象（分摊）出让国有建设用地使用权面积为0平方米，建筑面积为54242.66平方米。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估价对象为北京市房地产,属开发建设的，该项目尚在开发建设中。根据《国有土地使用证》[]，估价对象（分摊）出让国有建设用地使用权面积为0平方米，规划建筑面积为54242.66平方米。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2024年12月26日（评估专业人员实地查勘之日）</v>
      </c>
    </row>
    <row r="13" spans="1:2">
      <c r="A13" s="1117" t="s">
        <v>529</v>
      </c>
      <c r="B13" s="1118" t="str">
        <f>'预评函-1'!A18</f>
        <v>本次估价的“房地产价值”是指在正常市场情况下，在价值时点2024年12月26日，估价对象规划用途为，土地取得方式为出让，出让国有建设用地使用权剩余土地使用年限为70，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54242.66</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60"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0"/>
      <c r="B54" s="1445" t="s">
        <v>385</v>
      </c>
      <c r="C54" s="1443" t="s">
        <v>583</v>
      </c>
    </row>
    <row r="55" spans="1:4">
      <c r="A55" s="3260"/>
      <c r="B55" s="1445" t="s">
        <v>386</v>
      </c>
      <c r="C55" s="1443" t="s">
        <v>584</v>
      </c>
    </row>
    <row r="56" spans="1:4">
      <c r="A56" s="3260"/>
      <c r="B56" s="1445" t="s">
        <v>387</v>
      </c>
      <c r="C56" s="1443" t="s">
        <v>588</v>
      </c>
    </row>
    <row r="57" spans="1:4">
      <c r="A57" s="3260"/>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61" t="s">
        <v>2578</v>
      </c>
      <c r="J2" s="3261"/>
      <c r="K2" s="3261"/>
      <c r="L2" s="3261"/>
      <c r="M2" s="3261"/>
      <c r="N2" s="3261"/>
      <c r="O2" s="3261"/>
      <c r="P2" s="3261"/>
      <c r="Q2" s="3261"/>
      <c r="R2" s="3261"/>
    </row>
    <row r="3" spans="1:18">
      <c r="A3" s="2756" t="s">
        <v>2499</v>
      </c>
      <c r="B3" s="2757">
        <f>项目基本情况!D3</f>
        <v>45652</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1.98</v>
      </c>
      <c r="D5" s="2761">
        <f>IF(ISERROR(ROUND(POWER(1+E5,A5-C5)*(POWER(1+E5,C5)-1)/(POWER(1+E5,A5)-1),3)),0,ROUND(POWER(1+E5,A5-C5)*(POWER(1+E5,C5)-1)/(POWER(1+E5,A5)-1),4))</f>
        <v>9.4399999999999998E-2</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11.98</v>
      </c>
      <c r="D6" s="2761">
        <f>IF(ISERROR(ROUND(POWER(1+E6,A6-C6)*(POWER(1+E6,C6)-1)/(POWER(1+E6,A6)-1),3)),0,ROUND(POWER(1+E6,A6-C6)*(POWER(1+E6,C6)-1)/(POWER(1+E6,A6)-1),4))</f>
        <v>0.43630000000000002</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v>
      </c>
      <c r="D7" s="2761">
        <f>IF(ISERROR(ROUND(POWER(1+E7,A7-C7)*(POWER(1+E7,C7)-1)/(POWER(1+E7,A7)-1),3)),0,ROUND(POWER(1+E7,A7-C7)*(POWER(1+E7,C7)-1)/(POWER(1+E7,A7)-1),4))</f>
        <v>0.76400000000000001</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4" sqref="C14"/>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69" t="str">
        <f>IF(B10="北京市","北京市",C10)&amp;F10&amp;IF(结果表!G1="在建","出让国有建设用地使用权及在建建筑物",IF(结果表!G1="土地","出让国有建设用地使用权",))&amp;B9&amp;"预评估"</f>
        <v>北京市预评估</v>
      </c>
      <c r="C1" s="3270"/>
      <c r="D1" s="3270"/>
      <c r="E1" s="3270"/>
      <c r="F1" s="3270"/>
      <c r="G1" s="3270"/>
      <c r="H1" s="3270"/>
      <c r="I1" s="3271"/>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45652</v>
      </c>
      <c r="C3" s="2181" t="s">
        <v>2168</v>
      </c>
      <c r="D3" s="2180">
        <f>B3</f>
        <v>45652</v>
      </c>
      <c r="E3" s="3147"/>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43" t="s">
        <v>3447</v>
      </c>
      <c r="G6" s="2436"/>
      <c r="H6" s="1614"/>
      <c r="I6" s="2436"/>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2436"/>
      <c r="J7" s="2240"/>
      <c r="K7" s="2396"/>
      <c r="L7" s="2393"/>
      <c r="M7" s="2393"/>
      <c r="N7" s="2240"/>
      <c r="O7" s="1668"/>
      <c r="P7" s="2240"/>
      <c r="Q7" s="2240"/>
      <c r="R7" s="2240"/>
    </row>
    <row r="8" spans="1:30">
      <c r="A8" s="2194" t="s">
        <v>2173</v>
      </c>
      <c r="B8" s="2195"/>
      <c r="C8" s="2196"/>
      <c r="D8" s="3272" t="s">
        <v>2174</v>
      </c>
      <c r="E8" s="2197"/>
      <c r="F8" s="2198"/>
      <c r="G8" s="2436"/>
      <c r="H8" s="2436"/>
      <c r="I8" s="2436"/>
      <c r="J8" s="2240"/>
      <c r="K8" s="2394"/>
      <c r="L8" s="2393"/>
      <c r="M8" s="2393"/>
      <c r="N8" s="2240"/>
      <c r="O8" s="1668"/>
      <c r="P8" s="2240"/>
      <c r="Q8" s="2240"/>
      <c r="R8" s="2240"/>
    </row>
    <row r="9" spans="1:30" ht="13.5" thickBot="1">
      <c r="A9" s="2199" t="s">
        <v>2175</v>
      </c>
      <c r="B9" s="2200"/>
      <c r="C9" s="2201"/>
      <c r="D9" s="3273"/>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64589</v>
      </c>
      <c r="D13" s="802"/>
      <c r="E13" s="802"/>
      <c r="F13" s="802"/>
      <c r="G13" s="802"/>
      <c r="H13" s="802"/>
      <c r="I13" s="802"/>
      <c r="J13" s="2796"/>
      <c r="K13" s="2393"/>
      <c r="L13" s="2393"/>
      <c r="M13" s="2240"/>
      <c r="N13" s="1668"/>
      <c r="O13" s="2240"/>
      <c r="P13" s="2240"/>
      <c r="Q13" s="2240"/>
      <c r="AD13" s="1616"/>
    </row>
    <row r="14" spans="1:30">
      <c r="A14" s="1017"/>
      <c r="B14" s="2213" t="s">
        <v>2188</v>
      </c>
      <c r="C14" s="3185">
        <v>70</v>
      </c>
      <c r="D14" s="2214">
        <v>70</v>
      </c>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51.88</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79"/>
      <c r="C16" s="3280"/>
      <c r="D16" s="3281"/>
      <c r="E16" s="2217" t="s">
        <v>2191</v>
      </c>
      <c r="F16" s="3282">
        <v>70</v>
      </c>
      <c r="G16" s="3283"/>
      <c r="H16" s="3283"/>
      <c r="I16" s="3284"/>
      <c r="J16" s="2240"/>
      <c r="K16" s="2397"/>
      <c r="L16" s="1668"/>
      <c r="M16" s="1668"/>
      <c r="N16" s="2240"/>
      <c r="O16" s="1668"/>
      <c r="P16" s="2240"/>
      <c r="Q16" s="2240"/>
      <c r="R16" s="2240"/>
    </row>
    <row r="17" spans="1:28">
      <c r="A17" s="304" t="s">
        <v>2192</v>
      </c>
      <c r="B17" s="293" t="s">
        <v>2193</v>
      </c>
      <c r="C17" s="8">
        <f>'数据-汇总表'!E3</f>
        <v>54242.66</v>
      </c>
      <c r="D17" s="1254" t="s">
        <v>2194</v>
      </c>
      <c r="E17" s="3285" t="s">
        <v>2195</v>
      </c>
      <c r="F17" s="3286"/>
      <c r="G17" s="3286"/>
      <c r="H17" s="3286"/>
      <c r="I17" s="3287"/>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88" t="s">
        <v>2199</v>
      </c>
      <c r="F18" s="3289"/>
      <c r="G18" s="3289"/>
      <c r="H18" s="3289"/>
      <c r="I18" s="3290"/>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3376</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75" t="s">
        <v>2203</v>
      </c>
      <c r="C20" s="3276"/>
      <c r="D20" s="3277" t="s">
        <v>2204</v>
      </c>
      <c r="E20" s="3278"/>
      <c r="F20" s="2424" t="s">
        <v>1056</v>
      </c>
      <c r="G20" s="2436"/>
      <c r="H20" s="2436"/>
      <c r="I20" s="2436"/>
      <c r="J20" s="2240"/>
      <c r="K20" s="3274"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7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7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63"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63"/>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63"/>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64"/>
      <c r="B30" s="293" t="s">
        <v>2215</v>
      </c>
      <c r="C30" s="3265"/>
      <c r="D30" s="3266"/>
      <c r="E30" s="2436"/>
      <c r="F30" s="2436"/>
      <c r="G30" s="2436"/>
      <c r="H30" s="2436"/>
      <c r="I30" s="2436"/>
      <c r="J30" s="2240"/>
      <c r="K30" s="2396"/>
      <c r="L30" s="2393"/>
      <c r="M30" s="2393"/>
      <c r="N30" s="2240"/>
      <c r="O30" s="1668"/>
      <c r="P30" s="2240"/>
      <c r="Q30" s="2240"/>
      <c r="R30" s="2240"/>
      <c r="S30" s="2240"/>
      <c r="T30" s="2240"/>
      <c r="U30" s="2240"/>
      <c r="V30" s="2240"/>
    </row>
    <row r="31" spans="1:28">
      <c r="A31" s="3267"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68"/>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68"/>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62" t="s">
        <v>2225</v>
      </c>
      <c r="T34" s="314" t="str">
        <f>NUMBERSTRING(7-K34,1)&amp;"通"</f>
        <v>七通</v>
      </c>
      <c r="U34" s="2240"/>
      <c r="V34" s="2240"/>
    </row>
    <row r="35" spans="1:30">
      <c r="A35" s="2231"/>
      <c r="B35" s="3262" t="s">
        <v>2226</v>
      </c>
      <c r="C35" s="3262"/>
      <c r="D35" s="3262"/>
      <c r="E35" s="3262"/>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62"/>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301</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54242.66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54242.66</v>
      </c>
      <c r="H5" s="13">
        <f t="shared" ref="H5:AT5" si="0">SUM(H13:H656)</f>
        <v>54242.66</v>
      </c>
      <c r="I5" s="13">
        <f t="shared" si="0"/>
        <v>54242.66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54242.66</v>
      </c>
      <c r="BA5" s="15">
        <f t="shared" si="1"/>
        <v>54242.66</v>
      </c>
      <c r="BB5" s="15">
        <f t="shared" si="1"/>
        <v>54242.66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3377</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3443</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平层住宅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3376</v>
      </c>
      <c r="E13" s="13">
        <f>IF($C$3="是",ROUND($A$3*G13/$B$3,2),ROUND($A$3*(G13-AT13)/$B$3,2))</f>
        <v>0</v>
      </c>
      <c r="F13" s="29"/>
      <c r="G13" s="30">
        <f>H13+AC13+AT13</f>
        <v>54242.66</v>
      </c>
      <c r="H13" s="17">
        <f>SUMIF(I$12:AB$12,"总值",I13:AB13)</f>
        <v>54242.66</v>
      </c>
      <c r="I13" s="1512">
        <v>54242.66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54242.66</v>
      </c>
      <c r="BA13" s="13">
        <f>SUM(BB13:BK13)</f>
        <v>54242.66</v>
      </c>
      <c r="BB13" s="13">
        <f>IF($D13="是",I13-J13,0)</f>
        <v>54242.66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300" t="s">
        <v>1131</v>
      </c>
      <c r="B2" s="3300"/>
      <c r="C2" s="3300"/>
      <c r="D2" s="747" t="s">
        <v>1107</v>
      </c>
      <c r="E2" s="1521" t="s">
        <v>1108</v>
      </c>
      <c r="F2" s="2433"/>
      <c r="G2" s="2426"/>
      <c r="H2" s="2427"/>
      <c r="I2" s="2141" t="s">
        <v>1132</v>
      </c>
      <c r="J2" s="2433"/>
      <c r="K2" s="2433"/>
      <c r="L2" s="2433"/>
      <c r="M2" s="2433"/>
      <c r="N2" s="2434"/>
      <c r="O2" s="2433"/>
      <c r="P2" s="2433"/>
    </row>
    <row r="3" spans="1:16" ht="15.75" thickBot="1">
      <c r="A3" s="3301" t="s">
        <v>1105</v>
      </c>
      <c r="B3" s="3301"/>
      <c r="C3" s="3301"/>
      <c r="D3" s="41">
        <f>'数据-基础表'!AY6</f>
        <v>0</v>
      </c>
      <c r="E3" s="41">
        <f>'数据-基础表'!AZ5</f>
        <v>54242.66</v>
      </c>
      <c r="F3" s="2433"/>
      <c r="G3" s="42"/>
      <c r="H3" s="43" t="s">
        <v>1106</v>
      </c>
      <c r="I3" s="801" t="e">
        <f>ROUND('数据-基础表'!B3/'数据-基础表'!A3,2)</f>
        <v>#DIV/0!</v>
      </c>
      <c r="J3" s="2433"/>
      <c r="K3" s="2433"/>
      <c r="L3" s="2433"/>
      <c r="M3" s="2433"/>
      <c r="N3" s="2434"/>
      <c r="O3" s="2433"/>
      <c r="P3" s="2433"/>
    </row>
    <row r="4" spans="1:16" ht="15">
      <c r="A4" s="3302"/>
      <c r="B4" s="3303"/>
      <c r="C4" s="3304"/>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305" t="s">
        <v>1110</v>
      </c>
      <c r="C5" s="3305"/>
      <c r="D5" s="43">
        <f>ROUND($D$3*E5/$E$3,2)</f>
        <v>0</v>
      </c>
      <c r="E5" s="44">
        <f>SUMIF('数据-基础表'!$11:$11,"住宅",'数据-基础表'!$5:$5)</f>
        <v>54242.66</v>
      </c>
      <c r="F5" s="2433"/>
      <c r="G5" s="42"/>
      <c r="H5" s="43" t="s">
        <v>1106</v>
      </c>
      <c r="I5" s="801" t="e">
        <f>ROUND(E31/D31,2)</f>
        <v>#DIV/0!</v>
      </c>
      <c r="J5" s="2433"/>
      <c r="K5" s="2433"/>
      <c r="L5" s="2433"/>
      <c r="M5" s="2433"/>
      <c r="N5" s="2433"/>
      <c r="O5" s="2433"/>
      <c r="P5" s="2433"/>
    </row>
    <row r="6" spans="1:16" ht="15" thickBot="1">
      <c r="A6" s="1525"/>
      <c r="B6" s="3305" t="s">
        <v>1111</v>
      </c>
      <c r="C6" s="3305"/>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97"/>
      <c r="B7" s="3298"/>
      <c r="C7" s="3299"/>
      <c r="D7" s="1522" t="s">
        <v>1107</v>
      </c>
      <c r="E7" s="1526" t="s">
        <v>1114</v>
      </c>
      <c r="F7" s="2433"/>
      <c r="G7" s="2430" t="s">
        <v>1115</v>
      </c>
      <c r="H7" s="95"/>
      <c r="I7" s="2431">
        <v>2.5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54242.66</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54242.66</v>
      </c>
      <c r="F16" s="2433"/>
      <c r="G16" s="2433"/>
      <c r="H16" s="1529" t="s">
        <v>1135</v>
      </c>
      <c r="I16" s="1530"/>
      <c r="J16" s="1070"/>
      <c r="K16" s="3294" t="s">
        <v>1135</v>
      </c>
      <c r="L16" s="3295"/>
      <c r="M16" s="3295"/>
      <c r="N16" s="3295"/>
      <c r="O16" s="3295"/>
      <c r="P16" s="3296"/>
    </row>
    <row r="17" spans="1:19" ht="15">
      <c r="A17" s="1531" t="s">
        <v>1136</v>
      </c>
      <c r="B17" s="1532" t="s">
        <v>1137</v>
      </c>
      <c r="C17" s="1533" t="s">
        <v>1138</v>
      </c>
      <c r="D17" s="1534" t="s">
        <v>1126</v>
      </c>
      <c r="E17" s="1535" t="s">
        <v>1127</v>
      </c>
      <c r="F17" s="1536"/>
      <c r="G17" s="1537"/>
      <c r="H17" s="1538" t="s">
        <v>1139</v>
      </c>
      <c r="I17" s="1539" t="s">
        <v>1124</v>
      </c>
      <c r="J17" s="1070"/>
      <c r="K17" s="3291" t="s">
        <v>1140</v>
      </c>
      <c r="L17" s="3292"/>
      <c r="M17" s="3293"/>
      <c r="N17" s="3291" t="s">
        <v>1141</v>
      </c>
      <c r="O17" s="3292"/>
      <c r="P17" s="3293"/>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3378</v>
      </c>
      <c r="D19" s="43">
        <f>ROUND($D$3*E19/$E$3,2)</f>
        <v>0</v>
      </c>
      <c r="E19" s="51">
        <f t="shared" ref="E19:E26" si="1">SUM(F19:G19)</f>
        <v>54242.66</v>
      </c>
      <c r="F19" s="2552">
        <f>'数据-基础表'!I13</f>
        <v>54242.66</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54242.66</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54242.66</v>
      </c>
      <c r="F27" s="1071">
        <f>IF(SUM(F19:F26)=E8,SUM(F19:F26),"地上面积有误")</f>
        <v>54242.66</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54242.66</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54242.66</v>
      </c>
      <c r="F31" s="643">
        <f>F27+F30</f>
        <v>54242.66</v>
      </c>
      <c r="G31" s="644">
        <f>G27+G30</f>
        <v>0</v>
      </c>
      <c r="H31" s="2433"/>
      <c r="I31" s="2433"/>
      <c r="J31" s="2433"/>
      <c r="K31" s="2433"/>
      <c r="L31" s="2433"/>
      <c r="M31" s="2433"/>
      <c r="N31" s="2433"/>
      <c r="O31" s="2433"/>
      <c r="P31" s="2433"/>
    </row>
    <row r="32" spans="1:19">
      <c r="A32" s="1524"/>
      <c r="B32" s="1524" t="s">
        <v>1159</v>
      </c>
      <c r="C32" s="1524"/>
      <c r="D32" s="1524"/>
      <c r="E32" s="989">
        <f>SUMIF(C19:C26,"*住宅*",E19:E26)</f>
        <v>54242.66</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20" priority="1" stopIfTrue="1" operator="containsText" text="面积有误">
      <formula>NOT(ISERROR(SEARCH("面积有误",E27)))</formula>
    </cfRule>
    <cfRule type="cellIs" dxfId="119" priority="3" stopIfTrue="1" operator="equal">
      <formula>"地下面积有误"</formula>
    </cfRule>
  </conditionalFormatting>
  <conditionalFormatting sqref="F27">
    <cfRule type="cellIs" dxfId="11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S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45652</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3379</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64589</v>
      </c>
      <c r="F6" s="61">
        <f>SUMIF(项目基本情况!C$12:I$12,C6,项目基本情况!C$15:I$15)</f>
        <v>51.88</v>
      </c>
      <c r="G6" s="62">
        <f t="shared" ref="G6:G13" si="0">IF(ISERROR(ROUND(POWER(1+H6,D6-F6)*(POWER(1+H6,F6)-1)/(POWER(1+H6,D6)-1),3)),0,ROUND(POWER(1+H6,D6-F6)*(POWER(1+H6,F6)-1)/(POWER(1+H6,D6)-1),3))</f>
        <v>0.89800000000000002</v>
      </c>
      <c r="H6" s="690">
        <v>0.03</v>
      </c>
      <c r="I6" s="690">
        <v>0.04</v>
      </c>
      <c r="J6" s="63">
        <v>0.05</v>
      </c>
      <c r="K6" s="969">
        <f>SUMIF('数据-汇总表'!C$19:C$33,A6,'数据-汇总表'!E$19:E$33)</f>
        <v>54242.66</v>
      </c>
      <c r="L6" s="3177">
        <v>4000</v>
      </c>
      <c r="M6" s="64">
        <f t="shared" ref="M6:M14" si="1">ROUND(K6*L6/10000,0)</f>
        <v>21697</v>
      </c>
      <c r="N6" s="3178">
        <v>0.94</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0">
        <f>'比较法-住宅 (租金)'!C49</f>
        <v>50.54</v>
      </c>
      <c r="V6" s="67">
        <v>2.5000000000000001E-2</v>
      </c>
      <c r="W6" s="67">
        <v>0.05</v>
      </c>
      <c r="X6" s="978"/>
      <c r="Y6" s="68">
        <f>N6</f>
        <v>0.94</v>
      </c>
      <c r="Z6" s="69"/>
      <c r="AA6" s="63"/>
      <c r="AB6" s="63"/>
      <c r="AC6" s="978"/>
      <c r="AD6" s="70"/>
      <c r="AE6" s="979">
        <f ca="1">IF(AN6="",0,SUMIF(INDIRECT("'"&amp;AN6&amp;"'"&amp;"!E:E"),$AE$5,INDIRECT("'"&amp;AN6&amp;"'"&amp;"!F:F")))</f>
        <v>55</v>
      </c>
      <c r="AF6" s="74"/>
      <c r="AG6" s="129">
        <f>IF(AF6="",0,AE6-AF6)</f>
        <v>0</v>
      </c>
      <c r="AH6" s="71">
        <v>1</v>
      </c>
      <c r="AI6" s="73">
        <v>12</v>
      </c>
      <c r="AJ6" s="74"/>
      <c r="AK6" s="75">
        <v>0.01</v>
      </c>
      <c r="AL6" s="76">
        <v>1E-3</v>
      </c>
      <c r="AM6" s="77">
        <v>0.01</v>
      </c>
      <c r="AN6" s="1587" t="s">
        <v>3383</v>
      </c>
      <c r="AO6" s="50">
        <f ca="1">SUMIF(INDIRECT("'"&amp;AN6&amp;"'"&amp;"!A:A"),"总价",INDIRECT("'"&amp;AN6&amp;"'"&amp;"!B:B"))</f>
        <v>1.7975000000000001</v>
      </c>
      <c r="AP6" s="1588">
        <f>IF(C6="住宅",K6*L6,0)</f>
        <v>216970640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0.89800000000000002</v>
      </c>
      <c r="H16" s="84">
        <f>ROUND(SUMPRODUCT(H6:H13,K6:K13)/SUMPRODUCT((H6:H13&gt;0)*(K6:K13)),3)</f>
        <v>0.03</v>
      </c>
      <c r="I16" s="85"/>
      <c r="J16" s="85"/>
      <c r="K16" s="86">
        <f>SUM(K6:K15)</f>
        <v>54242.66</v>
      </c>
      <c r="L16" s="87">
        <f>ROUND(M16*10000/SUM(K6:K14),0)</f>
        <v>4000</v>
      </c>
      <c r="M16" s="87">
        <f>SUM(M6:M14)</f>
        <v>21697</v>
      </c>
      <c r="N16" s="88">
        <f>ROUND(SUMPRODUCT(M6:M14,N6:N14)/M16,3)</f>
        <v>0.94</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8">
        <v>2019</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74">
        <v>2</v>
      </c>
      <c r="C20" s="2556" t="s">
        <v>2298</v>
      </c>
      <c r="D20" s="2446"/>
      <c r="E20" s="2433"/>
      <c r="F20" s="2433"/>
      <c r="G20" s="2433"/>
      <c r="H20" s="2433"/>
      <c r="I20" s="2433"/>
      <c r="J20" s="2433"/>
      <c r="K20" s="2444"/>
      <c r="L20" s="2444"/>
      <c r="M20" s="3148">
        <f>2024-M19</f>
        <v>5</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74">
        <f>B20</f>
        <v>2</v>
      </c>
      <c r="C21" s="2433"/>
      <c r="D21" s="2446"/>
      <c r="E21" s="2433"/>
      <c r="F21" s="2433"/>
      <c r="G21" s="2433"/>
      <c r="H21" s="2433"/>
      <c r="I21" s="2433"/>
      <c r="J21" s="2433"/>
      <c r="K21" s="2444"/>
      <c r="L21" s="2444"/>
      <c r="M21" s="3149">
        <f>ROUND(1-(M20)/60,2)</f>
        <v>0.92</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50">
        <v>0.95</v>
      </c>
      <c r="N22" s="3138">
        <f>ROUND(M21*0.3+M22*0.7,3)</f>
        <v>0.94099999999999995</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150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190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8136399</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3380</v>
      </c>
      <c r="B40" s="1014">
        <f ca="1">IF(A40="利息：取LPR",存贷款利率!G1,存贷款利率!G1+C40)</f>
        <v>4.7500000000000001E-2</v>
      </c>
      <c r="C40" s="3175">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5.5000000000000007E-2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5.000000000000001E-3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0.05</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306" t="s">
        <v>2281</v>
      </c>
      <c r="B1" s="3307"/>
      <c r="C1" s="3307"/>
      <c r="D1" s="3307"/>
      <c r="E1" s="3307"/>
      <c r="F1" s="3307"/>
      <c r="G1" s="3307"/>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3" t="s">
        <v>3477</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48">
      <c r="A6" s="2243"/>
      <c r="B6" s="314" t="s">
        <v>2259</v>
      </c>
      <c r="C6" s="3154" t="s">
        <v>3602</v>
      </c>
      <c r="D6" s="2260"/>
      <c r="E6" s="2264"/>
      <c r="F6" s="314" t="s">
        <v>2260</v>
      </c>
      <c r="G6" s="2265" t="s">
        <v>2261</v>
      </c>
      <c r="H6" s="750"/>
      <c r="I6" s="750"/>
      <c r="J6" s="750"/>
      <c r="K6" s="750"/>
      <c r="L6" s="750"/>
      <c r="M6" s="750"/>
      <c r="N6" s="750"/>
      <c r="O6" s="750"/>
      <c r="P6" s="750"/>
      <c r="Q6" s="750"/>
    </row>
    <row r="7" spans="1:29" ht="108.75" thickBot="1">
      <c r="A7" s="2243"/>
      <c r="B7" s="314" t="s">
        <v>2257</v>
      </c>
      <c r="C7" s="3154" t="s">
        <v>3458</v>
      </c>
      <c r="D7" s="2240"/>
      <c r="E7" s="2266"/>
      <c r="F7" s="2267" t="s">
        <v>2262</v>
      </c>
      <c r="G7" s="2268" t="s">
        <v>2263</v>
      </c>
      <c r="H7" s="750"/>
      <c r="I7" s="750"/>
      <c r="J7" s="750"/>
      <c r="K7" s="750"/>
      <c r="L7" s="750"/>
      <c r="M7" s="750"/>
      <c r="N7" s="750"/>
      <c r="O7" s="750"/>
      <c r="P7" s="750"/>
      <c r="Q7" s="750"/>
    </row>
    <row r="8" spans="1:29">
      <c r="A8" s="2243"/>
      <c r="B8" s="314" t="s">
        <v>2260</v>
      </c>
      <c r="C8" s="3154" t="s">
        <v>3432</v>
      </c>
      <c r="D8" s="2240"/>
      <c r="E8" s="2240"/>
      <c r="F8" s="120"/>
      <c r="G8" s="120"/>
      <c r="H8" s="750"/>
      <c r="I8" s="750"/>
      <c r="J8" s="750"/>
      <c r="K8" s="750"/>
      <c r="L8" s="750"/>
      <c r="M8" s="750"/>
      <c r="N8" s="750"/>
      <c r="O8" s="750"/>
      <c r="P8" s="750"/>
      <c r="Q8" s="750"/>
    </row>
    <row r="9" spans="1:29" ht="36">
      <c r="A9" s="2243"/>
      <c r="B9" s="314" t="s">
        <v>2264</v>
      </c>
      <c r="C9" s="3157" t="s">
        <v>3480</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周边有太阳城、远洋傲北、冠华苑、冠雅苑等住宅小区，居住社区成熟度较好。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51">
      <c r="A18" s="2247"/>
      <c r="B18" s="2287" t="s">
        <v>2259</v>
      </c>
      <c r="C18" s="2288" t="str">
        <f>C6</f>
        <v>周边有537路、643路、905路等多条公交线路，紧邻城市支路——爱博路，综合评价交通便捷度一般</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38.25">
      <c r="A20" s="2247"/>
      <c r="B20" s="2287" t="s">
        <v>2273</v>
      </c>
      <c r="C20" s="2286" t="str">
        <f>C9</f>
        <v>自然环境：温榆河水系等自然及人文景观；
综合评价环境状况较好。</v>
      </c>
      <c r="D20" s="2240"/>
      <c r="E20" s="2248"/>
      <c r="F20" s="314" t="s">
        <v>2260</v>
      </c>
      <c r="G20" s="2288" t="str">
        <f>G6</f>
        <v>估价对象所在区域基础设施水平</v>
      </c>
    </row>
    <row r="21" spans="1:17" ht="114.75">
      <c r="A21" s="2247"/>
      <c r="B21" s="314" t="s">
        <v>2257</v>
      </c>
      <c r="C21" s="2288" t="str">
        <f>C7</f>
        <v>医院：北京太阳城医院医院等医疗机构；
学校：北京商业学校昌平校区、北京师范大学亚太实验学校等教育机构；
商业：和鑫来生活超市等商业设施；
综合评价公共服务设施齐备度一般。</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54242.66</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45652</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130762.78049999999</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54242.66</v>
      </c>
      <c r="C14" s="2300"/>
      <c r="D14" s="2300">
        <f ca="1">ROUND(E14*B14/10000,4)</f>
        <v>130762.78049999999</v>
      </c>
      <c r="E14" s="2300">
        <f ca="1">结果表!G20</f>
        <v>24107</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C17" sqref="C17"/>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42" t="str">
        <f>项目基本情况!S2</f>
        <v>北京市房地产</v>
      </c>
      <c r="B2" s="3343"/>
      <c r="C2" s="3343"/>
      <c r="D2" s="3343"/>
      <c r="E2" s="3343"/>
      <c r="F2" s="3343"/>
      <c r="G2" s="3343"/>
      <c r="H2" s="3343"/>
      <c r="I2" s="3344"/>
    </row>
    <row r="3" spans="1:12" ht="12.75">
      <c r="A3" s="3346" t="s">
        <v>1264</v>
      </c>
      <c r="B3" s="3347"/>
      <c r="C3" s="3347"/>
      <c r="D3" s="3347"/>
      <c r="E3" s="3347"/>
      <c r="F3" s="3347"/>
      <c r="G3" s="3347"/>
      <c r="H3" s="3347"/>
      <c r="I3" s="3347"/>
    </row>
    <row r="4" spans="1:12" ht="14.25">
      <c r="A4" s="1622" t="s">
        <v>1265</v>
      </c>
      <c r="B4" s="1623" t="s">
        <v>1266</v>
      </c>
      <c r="C4" s="1624" t="s">
        <v>3383</v>
      </c>
      <c r="D4" s="1624" t="s">
        <v>3388</v>
      </c>
      <c r="E4" s="3348" t="s">
        <v>1267</v>
      </c>
      <c r="F4" s="3349"/>
      <c r="G4" s="3349"/>
      <c r="H4" s="3349"/>
      <c r="I4" s="3350"/>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322" t="s">
        <v>1268</v>
      </c>
      <c r="B5" s="3309">
        <v>25</v>
      </c>
      <c r="C5" s="3325"/>
      <c r="D5" s="3345"/>
      <c r="E5" s="122" t="s">
        <v>1269</v>
      </c>
      <c r="F5" s="1625"/>
      <c r="G5" s="1625"/>
      <c r="H5" s="1625"/>
      <c r="I5" s="1279"/>
    </row>
    <row r="6" spans="1:12" ht="12.75">
      <c r="A6" s="3322"/>
      <c r="B6" s="3309"/>
      <c r="C6" s="3326"/>
      <c r="D6" s="3345"/>
      <c r="E6" s="122" t="s">
        <v>1270</v>
      </c>
      <c r="F6" s="1625"/>
      <c r="G6" s="1625"/>
      <c r="H6" s="1625"/>
      <c r="I6" s="1279"/>
    </row>
    <row r="7" spans="1:12" ht="12.75">
      <c r="A7" s="3322"/>
      <c r="B7" s="3309"/>
      <c r="C7" s="3327"/>
      <c r="D7" s="3345"/>
      <c r="E7" s="122" t="s">
        <v>1271</v>
      </c>
      <c r="F7" s="1625"/>
      <c r="G7" s="1625"/>
      <c r="H7" s="1625"/>
      <c r="I7" s="1279"/>
    </row>
    <row r="8" spans="1:12" ht="12.75">
      <c r="A8" s="3322" t="s">
        <v>1272</v>
      </c>
      <c r="B8" s="3309">
        <v>15</v>
      </c>
      <c r="C8" s="3325"/>
      <c r="D8" s="3345"/>
      <c r="E8" s="122" t="s">
        <v>1273</v>
      </c>
      <c r="F8" s="1625"/>
      <c r="G8" s="1625"/>
      <c r="H8" s="1625"/>
      <c r="I8" s="1279"/>
    </row>
    <row r="9" spans="1:12" ht="12.75">
      <c r="A9" s="3322"/>
      <c r="B9" s="3309"/>
      <c r="C9" s="3327"/>
      <c r="D9" s="3345"/>
      <c r="E9" s="122" t="s">
        <v>1274</v>
      </c>
      <c r="F9" s="1625"/>
      <c r="G9" s="1625"/>
      <c r="H9" s="1625"/>
      <c r="I9" s="1279"/>
    </row>
    <row r="10" spans="1:12" ht="12.75">
      <c r="A10" s="3322" t="s">
        <v>1275</v>
      </c>
      <c r="B10" s="3309">
        <v>15</v>
      </c>
      <c r="C10" s="3325"/>
      <c r="D10" s="3345"/>
      <c r="E10" s="122" t="s">
        <v>1276</v>
      </c>
      <c r="F10" s="1625"/>
      <c r="G10" s="1625"/>
      <c r="H10" s="1625"/>
      <c r="I10" s="1279"/>
    </row>
    <row r="11" spans="1:12" ht="12.75">
      <c r="A11" s="3322"/>
      <c r="B11" s="3309"/>
      <c r="C11" s="3327"/>
      <c r="D11" s="3345"/>
      <c r="E11" s="122" t="s">
        <v>1277</v>
      </c>
      <c r="F11" s="1625"/>
      <c r="G11" s="1625"/>
      <c r="H11" s="1625"/>
      <c r="I11" s="1279"/>
    </row>
    <row r="12" spans="1:12" ht="12.75">
      <c r="A12" s="3322" t="s">
        <v>1278</v>
      </c>
      <c r="B12" s="3309">
        <v>15</v>
      </c>
      <c r="C12" s="3325"/>
      <c r="D12" s="3345"/>
      <c r="E12" s="122" t="s">
        <v>1279</v>
      </c>
      <c r="F12" s="1625"/>
      <c r="G12" s="1625"/>
      <c r="H12" s="1625"/>
      <c r="I12" s="1279"/>
    </row>
    <row r="13" spans="1:12" ht="12.75">
      <c r="A13" s="3322"/>
      <c r="B13" s="3309"/>
      <c r="C13" s="3327"/>
      <c r="D13" s="3345"/>
      <c r="E13" s="122" t="s">
        <v>1280</v>
      </c>
      <c r="F13" s="1625"/>
      <c r="G13" s="1625"/>
      <c r="H13" s="1625"/>
      <c r="I13" s="1279"/>
    </row>
    <row r="14" spans="1:12" ht="12.75">
      <c r="A14" s="3322" t="s">
        <v>1281</v>
      </c>
      <c r="B14" s="3309">
        <v>30</v>
      </c>
      <c r="C14" s="3325">
        <v>3</v>
      </c>
      <c r="D14" s="3345">
        <f>10-C14</f>
        <v>7</v>
      </c>
      <c r="E14" s="122" t="s">
        <v>1282</v>
      </c>
      <c r="F14" s="1625"/>
      <c r="G14" s="1625"/>
      <c r="H14" s="1625"/>
      <c r="I14" s="1279"/>
    </row>
    <row r="15" spans="1:12" ht="12.75">
      <c r="A15" s="3322"/>
      <c r="B15" s="3309"/>
      <c r="C15" s="3326"/>
      <c r="D15" s="3345"/>
      <c r="E15" s="122" t="s">
        <v>1283</v>
      </c>
      <c r="F15" s="1625"/>
      <c r="G15" s="1625"/>
      <c r="H15" s="1625"/>
      <c r="I15" s="1279"/>
    </row>
    <row r="16" spans="1:12" ht="12.75">
      <c r="A16" s="3322"/>
      <c r="B16" s="3309"/>
      <c r="C16" s="3327"/>
      <c r="D16" s="3345"/>
      <c r="E16" s="122" t="s">
        <v>1284</v>
      </c>
      <c r="F16" s="1625"/>
      <c r="G16" s="1625"/>
      <c r="H16" s="1625"/>
      <c r="I16" s="1279"/>
    </row>
    <row r="17" spans="1:36" ht="15">
      <c r="A17" s="1626" t="s">
        <v>1285</v>
      </c>
      <c r="B17" s="54"/>
      <c r="C17" s="123">
        <f>SUM(C5:C16)</f>
        <v>3</v>
      </c>
      <c r="D17" s="123">
        <f>SUM(D5:D16)</f>
        <v>7</v>
      </c>
      <c r="E17" s="120"/>
      <c r="F17" s="120"/>
      <c r="G17" s="120"/>
      <c r="H17" s="120"/>
      <c r="I17" s="120"/>
      <c r="K17" s="293"/>
      <c r="L17" s="293" t="s">
        <v>1286</v>
      </c>
      <c r="M17" s="293" t="s">
        <v>1287</v>
      </c>
    </row>
    <row r="18" spans="1:36" ht="31.9" customHeight="1" thickBot="1">
      <c r="A18" s="1627" t="s">
        <v>1288</v>
      </c>
      <c r="B18" s="1540"/>
      <c r="C18" s="124">
        <f>ROUND(C17/SUM(C17:D17),2)</f>
        <v>0.3</v>
      </c>
      <c r="D18" s="124">
        <f>1-C18</f>
        <v>0.7</v>
      </c>
      <c r="E18" s="3332" t="s">
        <v>2128</v>
      </c>
      <c r="F18" s="3333"/>
      <c r="G18" s="3333"/>
      <c r="H18" s="3333"/>
      <c r="I18" s="3333"/>
      <c r="K18" s="293" t="s">
        <v>1289</v>
      </c>
      <c r="L18" s="293">
        <f>IF(C1="",'数据-汇总表'!E3,SUMIF(项目类型,C1,'数据-汇总表'!E17:E26)+SUMIF(项目类型,C1,'数据-汇总表'!I17:I26))</f>
        <v>54242.66</v>
      </c>
      <c r="M18" s="293">
        <f>IF(C1="",'数据-汇总表'!E3,SUMIF(项目类型,C1,'数据-汇总表'!E17:E26))</f>
        <v>54242.66</v>
      </c>
    </row>
    <row r="19" spans="1:36" ht="15">
      <c r="A19" s="1628" t="s">
        <v>1290</v>
      </c>
      <c r="B19" s="1629" t="s">
        <v>1291</v>
      </c>
      <c r="C19" s="125">
        <f ca="1">SUMIF(INDIRECT("'"&amp;C4&amp;"'"&amp;"!A:A"),结果表!B19,INDIRECT("'"&amp;C4&amp;"'"&amp;"!B:B"))</f>
        <v>1.7975000000000001</v>
      </c>
      <c r="D19" s="126">
        <f ca="1">SUMIF(INDIRECT("'"&amp;D4&amp;"'"&amp;"!A:A"),结果表!B19,INDIRECT("'"&amp;D4&amp;"'"&amp;"!B:B"))</f>
        <v>145017.75150000001</v>
      </c>
      <c r="E19" s="1628" t="s">
        <v>1292</v>
      </c>
      <c r="F19" s="1629" t="s">
        <v>1291</v>
      </c>
      <c r="G19" s="3161">
        <f ca="1">ROUND((G20*'数据-基础表'!I13)/10000,4)</f>
        <v>130762.78049999999</v>
      </c>
      <c r="H19" s="1630"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17975</v>
      </c>
      <c r="D20" s="129">
        <f ca="1">SUMIF(INDIRECT("'"&amp;D4&amp;"'"&amp;"!A:A"),结果表!B20,INDIRECT("'"&amp;D4&amp;"'"&amp;"!B:B"))</f>
        <v>26735</v>
      </c>
      <c r="E20" s="1631"/>
      <c r="F20" s="43" t="s">
        <v>1295</v>
      </c>
      <c r="G20" s="130">
        <f ca="1">ROUND(C20*$C$18+D20*$D$18,0)</f>
        <v>24107</v>
      </c>
      <c r="H20" s="759" t="s">
        <v>1296</v>
      </c>
      <c r="I20" s="120">
        <f ca="1">G19/J20</f>
        <v>76.919282647058822</v>
      </c>
      <c r="J20" s="683">
        <v>1700</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IF(C20&lt;D20,D20/C20-1,C20/D20-1)</f>
        <v>0.48734353268428365</v>
      </c>
      <c r="E22" s="120"/>
      <c r="F22" s="120"/>
      <c r="G22" s="120"/>
      <c r="H22" s="120"/>
      <c r="I22" s="120"/>
    </row>
    <row r="23" spans="1:36" ht="13.5" thickBot="1">
      <c r="A23" s="645"/>
      <c r="B23" s="645"/>
      <c r="C23" s="645"/>
      <c r="D23" s="645"/>
      <c r="E23" s="120"/>
      <c r="F23" s="120"/>
      <c r="G23" s="120"/>
      <c r="H23" s="120"/>
      <c r="I23" s="120"/>
    </row>
    <row r="24" spans="1:36" ht="14.25">
      <c r="A24" s="3316" t="s">
        <v>1299</v>
      </c>
      <c r="B24" s="1629" t="s">
        <v>1291</v>
      </c>
      <c r="C24" s="127">
        <f>IF(B30=0,0,D30)</f>
        <v>0</v>
      </c>
      <c r="D24" s="1635"/>
      <c r="E24" s="120"/>
      <c r="F24" s="120"/>
      <c r="G24" s="120">
        <f ca="1">系统读取表!D14</f>
        <v>130762.78049999999</v>
      </c>
      <c r="H24" s="120"/>
      <c r="I24" s="120"/>
    </row>
    <row r="25" spans="1:36" ht="14.25">
      <c r="A25" s="3317"/>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3" t="s">
        <v>3427</v>
      </c>
      <c r="B27" s="133">
        <f>'数据-基础表'!I13</f>
        <v>54242.66</v>
      </c>
      <c r="C27" s="133"/>
      <c r="D27" s="3184"/>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24107</v>
      </c>
      <c r="D30" s="3164">
        <f ca="1">ROUND((G19*10000-D27)/10000,4)</f>
        <v>130762.78049999999</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24107</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36" t="s">
        <v>1312</v>
      </c>
      <c r="B36" s="1650" t="s">
        <v>1313</v>
      </c>
      <c r="C36" s="136"/>
      <c r="D36" s="1651"/>
      <c r="E36" s="1565"/>
      <c r="F36" s="1652"/>
      <c r="G36" s="120"/>
      <c r="H36" s="120"/>
      <c r="I36" s="120"/>
    </row>
    <row r="37" spans="1:15" ht="15.75" thickBot="1">
      <c r="A37" s="3337"/>
      <c r="B37" s="1553" t="s">
        <v>1314</v>
      </c>
      <c r="C37" s="138"/>
      <c r="D37" s="1070"/>
      <c r="E37" s="1070"/>
      <c r="F37" s="1652"/>
      <c r="G37" s="120"/>
      <c r="H37" s="120"/>
      <c r="I37" s="120"/>
    </row>
    <row r="38" spans="1:15" ht="15.75" thickBot="1">
      <c r="A38" s="3338"/>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13" t="s">
        <v>1326</v>
      </c>
      <c r="B45" s="3314"/>
      <c r="C45" s="3315"/>
      <c r="D45" s="146" t="e">
        <f ca="1">ROUND(H101*F45,0)</f>
        <v>#REF!</v>
      </c>
      <c r="E45" s="147" t="s">
        <v>1327</v>
      </c>
      <c r="F45" s="148">
        <v>1</v>
      </c>
      <c r="G45" s="149" t="s">
        <v>1328</v>
      </c>
      <c r="H45" s="120"/>
      <c r="I45" s="120"/>
      <c r="J45" s="3391" t="s">
        <v>1329</v>
      </c>
      <c r="K45" s="3391"/>
      <c r="L45" s="3391"/>
      <c r="M45" s="3391"/>
      <c r="N45" s="3391"/>
      <c r="O45" s="3391"/>
    </row>
    <row r="46" spans="1:15" ht="14.25" customHeight="1">
      <c r="A46" s="3310" t="s">
        <v>1330</v>
      </c>
      <c r="B46" s="3311"/>
      <c r="C46" s="3311"/>
      <c r="D46" s="3311"/>
      <c r="E46" s="3311"/>
      <c r="F46" s="3311"/>
      <c r="G46" s="3312"/>
      <c r="H46" s="1666"/>
      <c r="I46" s="150"/>
      <c r="J46" s="2304">
        <v>1</v>
      </c>
      <c r="K46" s="3372" t="s">
        <v>1331</v>
      </c>
      <c r="L46" s="3372"/>
      <c r="M46" s="3392"/>
      <c r="N46" s="3392"/>
      <c r="O46" s="3392"/>
    </row>
    <row r="47" spans="1:15" ht="12" customHeight="1">
      <c r="A47" s="151" t="s">
        <v>1332</v>
      </c>
      <c r="B47" s="152"/>
      <c r="C47" s="153"/>
      <c r="D47" s="1023" t="s">
        <v>1333</v>
      </c>
      <c r="E47" s="293" t="s">
        <v>1334</v>
      </c>
      <c r="F47" s="154" t="s">
        <v>1335</v>
      </c>
      <c r="G47" s="2327" t="s">
        <v>1336</v>
      </c>
      <c r="H47" s="2328"/>
      <c r="I47" s="150"/>
      <c r="J47" s="2304">
        <v>2</v>
      </c>
      <c r="K47" s="3372" t="s">
        <v>1337</v>
      </c>
      <c r="L47" s="3372"/>
      <c r="M47" s="3393">
        <f>'数据-取费表'!B2</f>
        <v>45652</v>
      </c>
      <c r="N47" s="3393"/>
      <c r="O47" s="3393"/>
    </row>
    <row r="48" spans="1:15" ht="25.5">
      <c r="A48" s="3341" t="s">
        <v>1338</v>
      </c>
      <c r="B48" s="3324"/>
      <c r="C48" s="3324"/>
      <c r="D48" s="12" t="b">
        <f>IF(H48="情况1",0,IF(H48="情况2",D52,IF(H48="情况3",D53,IF(H48="情况4",D54))))</f>
        <v>0</v>
      </c>
      <c r="E48" s="1254" t="str">
        <f>IF(H48="情况4","(销售额-原购置价)×税（费）率","销售额×税（费）率")</f>
        <v>销售额×税（费）率</v>
      </c>
      <c r="F48" s="2329">
        <f>IF(H48="情况1","免征",'数据-取费表'!B41)</f>
        <v>5.5000000000000007E-2</v>
      </c>
      <c r="G48" s="2330" t="s">
        <v>1339</v>
      </c>
      <c r="H48" s="2331"/>
      <c r="I48" s="1666"/>
      <c r="J48" s="2304">
        <v>3</v>
      </c>
      <c r="K48" s="3372" t="s">
        <v>1340</v>
      </c>
      <c r="L48" s="3372"/>
      <c r="M48" s="3394" t="e">
        <f ca="1">H101</f>
        <v>#REF!</v>
      </c>
      <c r="N48" s="3394"/>
      <c r="O48" s="3394"/>
    </row>
    <row r="49" spans="1:35" ht="25.5" customHeight="1">
      <c r="A49" s="2147" t="s">
        <v>1341</v>
      </c>
      <c r="B49" s="3308" t="s">
        <v>1342</v>
      </c>
      <c r="C49" s="3308"/>
      <c r="D49" s="1476">
        <v>0</v>
      </c>
      <c r="E49" s="315" t="s">
        <v>1343</v>
      </c>
      <c r="F49" s="2228" t="s">
        <v>28</v>
      </c>
      <c r="G49" s="3378"/>
      <c r="H49" s="2129" t="s">
        <v>2131</v>
      </c>
      <c r="I49" s="2130"/>
      <c r="J49" s="2304">
        <v>4</v>
      </c>
      <c r="K49" s="3372" t="str">
        <f>IF(项目基本情况!E8="房地产抵押价值","房地产抵押价值","抵押担保权已注销时的房地产抵押价值")</f>
        <v>抵押担保权已注销时的房地产抵押价值</v>
      </c>
      <c r="L49" s="3372"/>
      <c r="M49" s="3394" t="str">
        <f>IF(项目基本情况!E8="房地产抵押价值",H107,H109)</f>
        <v>——</v>
      </c>
      <c r="N49" s="3394"/>
      <c r="O49" s="3394"/>
    </row>
    <row r="50" spans="1:35" ht="25.5" customHeight="1">
      <c r="A50" s="2332"/>
      <c r="B50" s="3308" t="s">
        <v>1344</v>
      </c>
      <c r="C50" s="3308"/>
      <c r="D50" s="2184"/>
      <c r="E50" s="322"/>
      <c r="F50" s="2228"/>
      <c r="G50" s="3379"/>
      <c r="H50" s="2131" t="s">
        <v>2132</v>
      </c>
      <c r="I50" s="2130"/>
      <c r="J50" s="3391" t="s">
        <v>1345</v>
      </c>
      <c r="K50" s="3391"/>
      <c r="L50" s="3391"/>
      <c r="M50" s="3391"/>
      <c r="N50" s="3391"/>
      <c r="O50" s="3391"/>
    </row>
    <row r="51" spans="1:35" ht="20.45" customHeight="1">
      <c r="A51" s="2333"/>
      <c r="B51" s="3308" t="s">
        <v>1346</v>
      </c>
      <c r="C51" s="3308"/>
      <c r="D51" s="1023"/>
      <c r="E51" s="318"/>
      <c r="F51" s="2228"/>
      <c r="G51" s="3380"/>
      <c r="H51" s="2131" t="s">
        <v>2133</v>
      </c>
      <c r="I51" s="2130"/>
      <c r="J51" s="2305" t="s">
        <v>1347</v>
      </c>
      <c r="K51" s="3372" t="s">
        <v>1348</v>
      </c>
      <c r="L51" s="3372"/>
      <c r="M51" s="2305" t="s">
        <v>1349</v>
      </c>
      <c r="N51" s="2305" t="s">
        <v>1350</v>
      </c>
      <c r="O51" s="2305" t="s">
        <v>1351</v>
      </c>
    </row>
    <row r="52" spans="1:35" ht="24" customHeight="1">
      <c r="A52" s="2148" t="s">
        <v>1352</v>
      </c>
      <c r="B52" s="3308" t="s">
        <v>1353</v>
      </c>
      <c r="C52" s="3308"/>
      <c r="D52" s="1023" t="e">
        <f ca="1">ROUND(D45*'数据-取费表'!B41/(1+'数据-取费表'!C42),0)</f>
        <v>#REF!</v>
      </c>
      <c r="E52" s="1254" t="s">
        <v>1354</v>
      </c>
      <c r="F52" s="2334">
        <f>'数据-取费表'!B41</f>
        <v>5.5000000000000007E-2</v>
      </c>
      <c r="G52" s="2335"/>
      <c r="H52" s="2325"/>
      <c r="I52" s="1667"/>
      <c r="J52" s="2304">
        <v>1</v>
      </c>
      <c r="K52" s="3373" t="s">
        <v>1355</v>
      </c>
      <c r="L52" s="3373"/>
      <c r="M52" s="2306" t="b">
        <f>D48</f>
        <v>0</v>
      </c>
      <c r="N52" s="2304" t="str">
        <f>E48</f>
        <v>销售额×税（费）率</v>
      </c>
      <c r="O52" s="2307">
        <f>F48</f>
        <v>5.5000000000000007E-2</v>
      </c>
    </row>
    <row r="53" spans="1:35" ht="12" customHeight="1">
      <c r="A53" s="2148" t="s">
        <v>1356</v>
      </c>
      <c r="B53" s="3334" t="s">
        <v>2286</v>
      </c>
      <c r="C53" s="3335"/>
      <c r="D53" s="1023" t="e">
        <f ca="1">ROUND(D45*'数据-取费表'!B41/(1+'数据-取费表'!C42),0)</f>
        <v>#REF!</v>
      </c>
      <c r="E53" s="1254" t="s">
        <v>1354</v>
      </c>
      <c r="F53" s="2334">
        <f>'数据-取费表'!B41</f>
        <v>5.5000000000000007E-2</v>
      </c>
      <c r="G53" s="2335"/>
      <c r="H53" s="2325"/>
      <c r="I53" s="1667"/>
      <c r="J53" s="2304">
        <v>2</v>
      </c>
      <c r="K53" s="3373" t="s">
        <v>1357</v>
      </c>
      <c r="L53" s="3373"/>
      <c r="M53" s="2306" t="e">
        <f t="shared" ref="M53:O54" ca="1" si="0">D55</f>
        <v>#REF!</v>
      </c>
      <c r="N53" s="2304" t="str">
        <f t="shared" si="0"/>
        <v>销售额×税（费）率</v>
      </c>
      <c r="O53" s="2307" t="str">
        <f t="shared" si="0"/>
        <v>免征</v>
      </c>
    </row>
    <row r="54" spans="1:35" ht="12" customHeight="1">
      <c r="A54" s="2148" t="s">
        <v>1358</v>
      </c>
      <c r="B54" s="3334" t="s">
        <v>2287</v>
      </c>
      <c r="C54" s="3335"/>
      <c r="D54" s="1023" t="e">
        <f ca="1">C68</f>
        <v>#REF!</v>
      </c>
      <c r="E54" s="318" t="s">
        <v>1359</v>
      </c>
      <c r="F54" s="2334">
        <f>'数据-取费表'!B41</f>
        <v>5.5000000000000007E-2</v>
      </c>
      <c r="G54" s="2335"/>
      <c r="H54" s="2336"/>
      <c r="I54" s="1667"/>
      <c r="J54" s="2304">
        <v>3</v>
      </c>
      <c r="K54" s="3373" t="s">
        <v>1360</v>
      </c>
      <c r="L54" s="3373"/>
      <c r="M54" s="2306" t="e">
        <f t="shared" ca="1" si="0"/>
        <v>#REF!</v>
      </c>
      <c r="N54" s="2304" t="str">
        <f t="shared" si="0"/>
        <v>增值额×税（费）率</v>
      </c>
      <c r="O54" s="2308" t="str">
        <f t="shared" si="0"/>
        <v>免征</v>
      </c>
    </row>
    <row r="55" spans="1:35" ht="24" customHeight="1">
      <c r="A55" s="3323" t="s">
        <v>1361</v>
      </c>
      <c r="B55" s="3324"/>
      <c r="C55" s="3324"/>
      <c r="D55" s="12" t="e">
        <f ca="1">IF(H55="个人住宅",0,ROUND(D45*I55,0))</f>
        <v>#REF!</v>
      </c>
      <c r="E55" s="1254" t="s">
        <v>1362</v>
      </c>
      <c r="F55" s="2334" t="str">
        <f>IF(H55="正常",I55,"免征")</f>
        <v>免征</v>
      </c>
      <c r="G55" s="2335"/>
      <c r="H55" s="2331"/>
      <c r="I55" s="156">
        <f>'数据-取费表'!B49</f>
        <v>5.0000000000000001E-4</v>
      </c>
      <c r="J55" s="2304">
        <f>IF(H59="非个人房产","",4)</f>
        <v>4</v>
      </c>
      <c r="K55" s="3373" t="str">
        <f>IF(H59="非个人房产","——","个人所得税")</f>
        <v>个人所得税</v>
      </c>
      <c r="L55" s="3373"/>
      <c r="M55" s="2309" t="e">
        <f ca="1">D59</f>
        <v>#REF!</v>
      </c>
      <c r="N55" s="1878" t="str">
        <f>E59</f>
        <v>差额计税</v>
      </c>
      <c r="O55" s="2310">
        <f>F59</f>
        <v>0.01</v>
      </c>
    </row>
    <row r="56" spans="1:35" ht="24.75">
      <c r="A56" s="3323" t="s">
        <v>1363</v>
      </c>
      <c r="B56" s="3324"/>
      <c r="C56" s="3324"/>
      <c r="D56" s="12" t="e">
        <f ca="1">IF(H56="个人住宅",D57,D58)</f>
        <v>#REF!</v>
      </c>
      <c r="E56" s="1254" t="s">
        <v>1364</v>
      </c>
      <c r="F56" s="2334" t="str">
        <f>IF(H56="正常",F58,"免征")</f>
        <v>免征</v>
      </c>
      <c r="G56" s="2337" t="s">
        <v>1365</v>
      </c>
      <c r="H56" s="2338"/>
      <c r="I56" s="1668"/>
      <c r="J56" s="2304" t="str">
        <f>IF(项目基本情况!K6="上海银行",IF(J55="",4,J55+1),"")</f>
        <v/>
      </c>
      <c r="K56" s="3396" t="str">
        <f>IF(项目基本情况!K6="上海银行","其他处置费用","")</f>
        <v/>
      </c>
      <c r="L56" s="3397"/>
      <c r="M56" s="2306" t="str">
        <f>IF(项目基本情况!K6="上海银行",M69,"")</f>
        <v/>
      </c>
      <c r="N56" s="3396" t="str">
        <f>IF(项目基本情况!K6="上海银行","包含处置中涉及的律师、诉讼、拍卖、评估等费用","")</f>
        <v/>
      </c>
      <c r="O56" s="3399"/>
    </row>
    <row r="57" spans="1:35" ht="12.75">
      <c r="A57" s="2148" t="s">
        <v>1341</v>
      </c>
      <c r="B57" s="3334" t="s">
        <v>1366</v>
      </c>
      <c r="C57" s="3335"/>
      <c r="D57" s="1476">
        <v>0</v>
      </c>
      <c r="E57" s="315" t="s">
        <v>1343</v>
      </c>
      <c r="F57" s="293"/>
      <c r="G57" s="2335"/>
      <c r="H57" s="2339"/>
      <c r="I57" s="1668"/>
      <c r="J57" s="3373">
        <f>IF(AND(J55="",J56=""),4,IF(项目基本情况!K6="上海银行",结果表!J56+1,结果表!J55+1))</f>
        <v>5</v>
      </c>
      <c r="K57" s="3373" t="s">
        <v>1367</v>
      </c>
      <c r="L57" s="2311" t="s">
        <v>1368</v>
      </c>
      <c r="M57" s="2312"/>
      <c r="N57" s="2313">
        <f ca="1">SUMIF(M52:M56,"&lt;9e307")</f>
        <v>0</v>
      </c>
      <c r="O57" s="2314"/>
      <c r="P57" s="2459" t="e">
        <f ca="1">N57/M49</f>
        <v>#VALUE!</v>
      </c>
    </row>
    <row r="58" spans="1:35" ht="24.75">
      <c r="A58" s="2148" t="s">
        <v>1352</v>
      </c>
      <c r="B58" s="3334" t="s">
        <v>1369</v>
      </c>
      <c r="C58" s="3308"/>
      <c r="D58" s="12" t="e">
        <f ca="1">IF(H58="转让取得",C81,C97)</f>
        <v>#REF!</v>
      </c>
      <c r="E58" s="1254" t="s">
        <v>1364</v>
      </c>
      <c r="F58" s="293" t="s">
        <v>28</v>
      </c>
      <c r="G58" s="2335"/>
      <c r="H58" s="2338"/>
      <c r="I58" s="1668"/>
      <c r="J58" s="3373"/>
      <c r="K58" s="3373"/>
      <c r="L58" s="2311" t="s">
        <v>1370</v>
      </c>
      <c r="M58" s="2315"/>
      <c r="N58" s="2316" t="str">
        <f ca="1">NUMBERSTRING(INT(N57*10000),2)&amp;"元整"</f>
        <v>零元整</v>
      </c>
      <c r="O58" s="2317"/>
    </row>
    <row r="59" spans="1:35" ht="24.75" thickBot="1">
      <c r="A59" s="3376" t="s">
        <v>1371</v>
      </c>
      <c r="B59" s="3377"/>
      <c r="C59" s="3377"/>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74">
        <f>J57+1</f>
        <v>6</v>
      </c>
      <c r="K59" s="3373" t="s">
        <v>1372</v>
      </c>
      <c r="L59" s="2304" t="s">
        <v>1368</v>
      </c>
      <c r="M59" s="2318"/>
      <c r="N59" s="2319" t="e">
        <f ca="1">M49-N57</f>
        <v>#VALUE!</v>
      </c>
      <c r="O59" s="2320"/>
    </row>
    <row r="60" spans="1:35" ht="12" customHeight="1">
      <c r="A60" s="1669"/>
      <c r="B60" s="645"/>
      <c r="C60" s="645"/>
      <c r="D60" s="645"/>
      <c r="E60" s="1464"/>
      <c r="F60" s="1668"/>
      <c r="G60" s="1668"/>
      <c r="H60" s="150"/>
      <c r="I60" s="120"/>
      <c r="J60" s="3375"/>
      <c r="K60" s="3373"/>
      <c r="L60" s="2311" t="s">
        <v>1370</v>
      </c>
      <c r="M60" s="2315"/>
      <c r="N60" s="2316" t="e">
        <f ca="1">NUMBERSTRING(INT(N59*10000),2)&amp;"元整"</f>
        <v>#VALUE!</v>
      </c>
      <c r="O60" s="2317"/>
    </row>
    <row r="61" spans="1:35" ht="13.5" thickBot="1">
      <c r="A61" s="3321" t="s">
        <v>1373</v>
      </c>
      <c r="B61" s="3321"/>
      <c r="C61" s="3321"/>
      <c r="D61" s="3321"/>
      <c r="E61" s="3321"/>
      <c r="F61" s="1668"/>
      <c r="G61" s="1668"/>
      <c r="H61" s="150"/>
      <c r="I61" s="120"/>
      <c r="J61" s="2304">
        <f>J59+1</f>
        <v>7</v>
      </c>
      <c r="K61" s="3373" t="s">
        <v>1374</v>
      </c>
      <c r="L61" s="3373"/>
      <c r="M61" s="2321"/>
      <c r="N61" s="2322" t="e">
        <f ca="1">ROUND(N59*10000/'数据-汇总表'!E3,0)</f>
        <v>#VALUE!</v>
      </c>
      <c r="O61" s="2323"/>
    </row>
    <row r="62" spans="1:35" ht="12.75">
      <c r="A62" s="3339" t="s">
        <v>1375</v>
      </c>
      <c r="B62" s="3340"/>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398"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398"/>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398"/>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398"/>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398"/>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5.5000000000000007E-2</v>
      </c>
      <c r="E68" s="169"/>
      <c r="F68" s="1668"/>
      <c r="G68" s="1668"/>
      <c r="H68" s="150"/>
      <c r="I68" s="120"/>
      <c r="J68" s="3398"/>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398"/>
      <c r="K69" s="1243" t="s">
        <v>1393</v>
      </c>
      <c r="L69" s="1243"/>
      <c r="M69" s="293" t="e">
        <f>ROUND(SUM(M63:M68),0)</f>
        <v>#VALUE!</v>
      </c>
      <c r="N69" s="2326" t="e">
        <f>M69/M49</f>
        <v>#VALUE!</v>
      </c>
      <c r="Z69" s="1621"/>
      <c r="AI69" s="1559"/>
    </row>
    <row r="70" spans="1:35" s="641" customFormat="1" ht="15" thickBot="1">
      <c r="A70" s="3360" t="s">
        <v>1394</v>
      </c>
      <c r="B70" s="3361"/>
      <c r="C70" s="3361"/>
      <c r="D70" s="3361"/>
      <c r="E70" s="3361"/>
      <c r="F70" s="3361"/>
      <c r="G70" s="3361"/>
      <c r="H70" s="3361"/>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39" t="s">
        <v>1375</v>
      </c>
      <c r="B71" s="3340"/>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34" t="s">
        <v>1402</v>
      </c>
      <c r="F76" s="3308"/>
      <c r="G76" s="3308"/>
      <c r="H76" s="3359"/>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5.000000000000001E-3</v>
      </c>
      <c r="E78" s="3318" t="s">
        <v>1406</v>
      </c>
      <c r="F78" s="3319"/>
      <c r="G78" s="3319"/>
      <c r="H78" s="3328"/>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60" t="s">
        <v>1410</v>
      </c>
      <c r="B83" s="3361"/>
      <c r="C83" s="3361"/>
      <c r="D83" s="3361"/>
      <c r="E83" s="3361"/>
      <c r="F83" s="3361"/>
      <c r="G83" s="3361"/>
      <c r="H83" s="3361"/>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39" t="s">
        <v>1375</v>
      </c>
      <c r="B84" s="3340"/>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400" t="s">
        <v>2126</v>
      </c>
      <c r="H90" s="3401"/>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318" t="s">
        <v>1419</v>
      </c>
      <c r="F91" s="3319"/>
      <c r="G91" s="3319"/>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318" t="s">
        <v>1422</v>
      </c>
      <c r="F92" s="3319"/>
      <c r="G92" s="3319"/>
      <c r="H92" s="3328"/>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5.000000000000001E-3</v>
      </c>
      <c r="E93" s="3318" t="s">
        <v>1406</v>
      </c>
      <c r="F93" s="3319"/>
      <c r="G93" s="3319"/>
      <c r="H93" s="3328"/>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329" t="s">
        <v>1426</v>
      </c>
      <c r="F94" s="3330"/>
      <c r="G94" s="3330"/>
      <c r="H94" s="3331"/>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302" t="s">
        <v>1428</v>
      </c>
      <c r="B100" s="3303"/>
      <c r="C100" s="3303"/>
      <c r="D100" s="3320"/>
      <c r="E100" s="3303" t="s">
        <v>1429</v>
      </c>
      <c r="F100" s="3303"/>
      <c r="G100" s="3303"/>
      <c r="H100" s="3320"/>
      <c r="I100" s="120"/>
    </row>
    <row r="101" spans="1:35" ht="18.75" customHeight="1">
      <c r="A101" s="3381" t="s">
        <v>1430</v>
      </c>
      <c r="B101" s="3382"/>
      <c r="C101" s="2365" t="str">
        <f>C4</f>
        <v>收益法 (元)</v>
      </c>
      <c r="D101" s="2366" t="str">
        <f>D4</f>
        <v>比较法-住宅</v>
      </c>
      <c r="E101" s="3395" t="s">
        <v>1431</v>
      </c>
      <c r="F101" s="3352"/>
      <c r="G101" s="1685" t="s">
        <v>1432</v>
      </c>
      <c r="H101" s="2375" t="e">
        <f ca="1">H118</f>
        <v>#REF!</v>
      </c>
      <c r="I101" s="120"/>
    </row>
    <row r="102" spans="1:35" ht="18.75" customHeight="1">
      <c r="A102" s="3354" t="s">
        <v>1433</v>
      </c>
      <c r="B102" s="2364" t="s">
        <v>1432</v>
      </c>
      <c r="C102" s="2365">
        <f ca="1">IF(D32="楼面单价",ROUND(C19,0),C19)</f>
        <v>1.7975000000000001</v>
      </c>
      <c r="D102" s="2366">
        <f ca="1">IF(D32="楼面单价",ROUND(D19,0),D19)</f>
        <v>145017.75150000001</v>
      </c>
      <c r="E102" s="3395"/>
      <c r="F102" s="3352"/>
      <c r="G102" s="1685" t="s">
        <v>1434</v>
      </c>
      <c r="H102" s="2335" t="e">
        <f ca="1">I118</f>
        <v>#REF!</v>
      </c>
      <c r="I102" s="120"/>
    </row>
    <row r="103" spans="1:35" ht="42.75" customHeight="1">
      <c r="A103" s="3354"/>
      <c r="B103" s="2364" t="s">
        <v>1434</v>
      </c>
      <c r="C103" s="2367">
        <f ca="1">C20</f>
        <v>17975</v>
      </c>
      <c r="D103" s="2368">
        <f ca="1">D20</f>
        <v>26735</v>
      </c>
      <c r="E103" s="3389" t="s">
        <v>1435</v>
      </c>
      <c r="F103" s="3390"/>
      <c r="G103" s="1686" t="s">
        <v>1436</v>
      </c>
      <c r="H103" s="2375">
        <f>IF(D36="正常操作",H104+H105+H106,H105+H106)</f>
        <v>0</v>
      </c>
      <c r="I103" s="120"/>
    </row>
    <row r="104" spans="1:35" ht="18.75" customHeight="1">
      <c r="A104" s="3354"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55"/>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51" t="str">
        <f>IF(项目基本情况!E8="已注销","——","3.房地产抵押价值")</f>
        <v>3.房地产抵押价值</v>
      </c>
      <c r="F107" s="3352"/>
      <c r="G107" s="1685" t="s">
        <v>1432</v>
      </c>
      <c r="H107" s="2375" t="e">
        <f ca="1">IF(E107="——","——",H101-H103)</f>
        <v>#REF!</v>
      </c>
      <c r="I107" s="120"/>
    </row>
    <row r="108" spans="1:35" ht="18.75" customHeight="1">
      <c r="A108" s="120"/>
      <c r="B108" s="120"/>
      <c r="C108" s="120"/>
      <c r="D108" s="120"/>
      <c r="E108" s="3351"/>
      <c r="F108" s="3352"/>
      <c r="G108" s="1685" t="s">
        <v>1434</v>
      </c>
      <c r="H108" s="2335">
        <f ca="1">IF(H107=H101,H102,ROUND(H107*10000/'数据-汇总表'!E3,0))</f>
        <v>0</v>
      </c>
      <c r="I108" s="120"/>
    </row>
    <row r="109" spans="1:35" ht="18.75" customHeight="1">
      <c r="A109" s="120"/>
      <c r="B109" s="120"/>
      <c r="C109" s="120"/>
      <c r="D109" s="120"/>
      <c r="E109" s="3351" t="str">
        <f>IF(项目基本情况!E8="已注销及未注销","4.抵押担保权已注销时的房地产抵押价值",IF(项目基本情况!E8="已注销","3.抵押担保权已注销时的房地产抵押价值","——"))</f>
        <v>——</v>
      </c>
      <c r="F109" s="3352"/>
      <c r="G109" s="1685" t="s">
        <v>1432</v>
      </c>
      <c r="H109" s="2378" t="str">
        <f>IF(E109="——","——",H101-H105-H106)</f>
        <v>——</v>
      </c>
      <c r="I109" s="120"/>
    </row>
    <row r="110" spans="1:35" ht="18.75" customHeight="1">
      <c r="A110" s="120"/>
      <c r="B110" s="120"/>
      <c r="C110" s="120"/>
      <c r="D110" s="120"/>
      <c r="E110" s="3351"/>
      <c r="F110" s="3352"/>
      <c r="G110" s="1685" t="s">
        <v>1434</v>
      </c>
      <c r="H110" s="2335" t="str">
        <f>IF(H109="——","——",ROUND(H109*10000/'数据-汇总表'!E3,0))</f>
        <v>——</v>
      </c>
      <c r="I110" s="120"/>
    </row>
    <row r="111" spans="1:35" ht="18.75" customHeight="1">
      <c r="A111" s="120"/>
      <c r="B111" s="120"/>
      <c r="C111" s="120"/>
      <c r="D111" s="120"/>
      <c r="E111" s="3383" t="str">
        <f>IF(项目基本情况!E9="抵押净值",IF(OR(项目基本情况!E8="已注销",项目基本情况!E8="房地产抵押价值"),"4.抵押净值","5.抵押净值"),"——")</f>
        <v>——</v>
      </c>
      <c r="F111" s="3353"/>
      <c r="G111" s="1685" t="s">
        <v>1432</v>
      </c>
      <c r="H111" s="2375" t="str">
        <f>IF(E111="——","——",N59)</f>
        <v>——</v>
      </c>
      <c r="I111" s="120"/>
    </row>
    <row r="112" spans="1:35" ht="18.75" customHeight="1" thickBot="1">
      <c r="A112" s="120"/>
      <c r="B112" s="120"/>
      <c r="C112" s="120"/>
      <c r="D112" s="120"/>
      <c r="E112" s="3384"/>
      <c r="F112" s="3385"/>
      <c r="G112" s="1688" t="s">
        <v>1434</v>
      </c>
      <c r="H112" s="2379" t="str">
        <f>IF(E111="——","——",N61)</f>
        <v>——</v>
      </c>
      <c r="I112" s="120"/>
    </row>
    <row r="113" spans="1:27" ht="18.75" customHeight="1">
      <c r="A113" s="120"/>
      <c r="B113" s="120"/>
      <c r="C113" s="120"/>
      <c r="D113" s="120"/>
      <c r="E113" s="3356" t="s">
        <v>1440</v>
      </c>
      <c r="F113" s="3356"/>
      <c r="G113" s="3356"/>
      <c r="H113" s="3356"/>
      <c r="I113" s="120"/>
    </row>
    <row r="114" spans="1:27" ht="3.75" customHeight="1">
      <c r="A114" s="645"/>
      <c r="B114" s="645"/>
      <c r="C114" s="645"/>
      <c r="D114" s="645"/>
      <c r="E114" s="1669"/>
      <c r="F114" s="1669"/>
      <c r="G114" s="1669"/>
      <c r="H114" s="1669"/>
      <c r="I114" s="645"/>
    </row>
    <row r="115" spans="1:27" ht="18.75" customHeight="1">
      <c r="A115" s="3366" t="s">
        <v>1442</v>
      </c>
      <c r="B115" s="3367"/>
      <c r="C115" s="3367"/>
      <c r="D115" s="3367"/>
      <c r="E115" s="3367"/>
      <c r="F115" s="3367"/>
      <c r="G115" s="3367"/>
      <c r="H115" s="3367"/>
      <c r="I115" s="3368"/>
    </row>
    <row r="116" spans="1:27" ht="27" customHeight="1">
      <c r="A116" s="3322" t="s">
        <v>1443</v>
      </c>
      <c r="B116" s="3357" t="s">
        <v>1444</v>
      </c>
      <c r="C116" s="3357" t="s">
        <v>1445</v>
      </c>
      <c r="D116" s="3370" t="s">
        <v>1446</v>
      </c>
      <c r="E116" s="3371"/>
      <c r="F116" s="3365" t="s">
        <v>1447</v>
      </c>
      <c r="G116" s="3365"/>
      <c r="H116" s="3322" t="s">
        <v>1448</v>
      </c>
      <c r="I116" s="3322"/>
    </row>
    <row r="117" spans="1:27" ht="18.75" customHeight="1">
      <c r="A117" s="3322"/>
      <c r="B117" s="3358"/>
      <c r="C117" s="3358"/>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54242.66</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322" t="s">
        <v>1452</v>
      </c>
      <c r="B119" s="3322"/>
      <c r="C119" s="3322"/>
      <c r="D119" s="3362" t="e">
        <f ca="1">NUMBERSTRING(INT(D118*10000),2)&amp;"元整"</f>
        <v>#REF!</v>
      </c>
      <c r="E119" s="3364"/>
      <c r="F119" s="3362" t="e">
        <f ca="1">NUMBERSTRING(INT(F118*10000),2)&amp;"元整"</f>
        <v>#REF!</v>
      </c>
      <c r="G119" s="3364"/>
      <c r="H119" s="3362" t="e">
        <f ca="1">NUMBERSTRING(INT(H118*10000),2)&amp;"元整"</f>
        <v>#REF!</v>
      </c>
      <c r="I119" s="3364"/>
    </row>
    <row r="120" spans="1:27" ht="18.75" customHeight="1">
      <c r="A120" s="3386" t="str">
        <f>IF(项目基本情况!B9="房地产市场价值","",MID(E103,3,LEN(E103)-2))</f>
        <v>估价师知悉的法定优先受偿款</v>
      </c>
      <c r="B120" s="3387"/>
      <c r="C120" s="3388"/>
      <c r="D120" s="3386">
        <f>H103</f>
        <v>0</v>
      </c>
      <c r="E120" s="3387"/>
      <c r="F120" s="3387"/>
      <c r="G120" s="3387"/>
      <c r="H120" s="3387"/>
      <c r="I120" s="3388"/>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62" t="s">
        <v>1452</v>
      </c>
      <c r="B121" s="3363"/>
      <c r="C121" s="3364"/>
      <c r="D121" s="3362" t="str">
        <f>IF(D120=0,"零元整",NUMBERSTRING(INT(D120*10000),2)&amp;"元整")</f>
        <v>零元整</v>
      </c>
      <c r="E121" s="3363"/>
      <c r="F121" s="3363"/>
      <c r="G121" s="3363"/>
      <c r="H121" s="3363"/>
      <c r="I121" s="3364"/>
      <c r="AA121" s="683"/>
    </row>
    <row r="122" spans="1:27" ht="18.75" customHeight="1">
      <c r="A122" s="3353" t="str">
        <f>IF(项目基本情况!B9="房地产市场价值","",MID(E107,3,LEN(E107)-2))</f>
        <v>房地产抵押价值</v>
      </c>
      <c r="B122" s="3353"/>
      <c r="C122" s="3353"/>
      <c r="D122" s="3386" t="e">
        <f ca="1">H107</f>
        <v>#REF!</v>
      </c>
      <c r="E122" s="3387"/>
      <c r="F122" s="3387"/>
      <c r="G122" s="3387"/>
      <c r="H122" s="3387"/>
      <c r="I122" s="3388"/>
      <c r="AA122" s="683"/>
    </row>
    <row r="123" spans="1:27" ht="18.75" customHeight="1">
      <c r="A123" s="3322" t="s">
        <v>1452</v>
      </c>
      <c r="B123" s="3322"/>
      <c r="C123" s="3322"/>
      <c r="D123" s="3362" t="e">
        <f ca="1">NUMBERSTRING(INT(D122*10000),2)&amp;"元整"</f>
        <v>#REF!</v>
      </c>
      <c r="E123" s="3363"/>
      <c r="F123" s="3363"/>
      <c r="G123" s="3363"/>
      <c r="H123" s="3363"/>
      <c r="I123" s="3364"/>
      <c r="AA123" s="683"/>
    </row>
    <row r="124" spans="1:27" ht="18.75" customHeight="1">
      <c r="A124" s="3353" t="str">
        <f>IF(项目基本情况!B9="房地产市场价值","",MID(E109,3,LEN(E109)-2))</f>
        <v/>
      </c>
      <c r="B124" s="3353"/>
      <c r="C124" s="3353"/>
      <c r="D124" s="3386" t="str">
        <f>H109</f>
        <v>——</v>
      </c>
      <c r="E124" s="3387"/>
      <c r="F124" s="3387"/>
      <c r="G124" s="3387"/>
      <c r="H124" s="3387"/>
      <c r="I124" s="3388"/>
      <c r="AA124" s="683"/>
    </row>
    <row r="125" spans="1:27" ht="18.75" customHeight="1">
      <c r="A125" s="3322" t="s">
        <v>1452</v>
      </c>
      <c r="B125" s="3322"/>
      <c r="C125" s="3322"/>
      <c r="D125" s="3362" t="e">
        <f>NUMBERSTRING(INT(D124*10000),2)&amp;"元整"</f>
        <v>#VALUE!</v>
      </c>
      <c r="E125" s="3363"/>
      <c r="F125" s="3363"/>
      <c r="G125" s="3363"/>
      <c r="H125" s="3363"/>
      <c r="I125" s="3364"/>
      <c r="AA125" s="683"/>
    </row>
    <row r="126" spans="1:27" ht="18.75" customHeight="1">
      <c r="A126" s="3353" t="str">
        <f>IF(项目基本情况!B9="房地产市场价值","",MID(E111,3,LEN(E111)-2))</f>
        <v/>
      </c>
      <c r="B126" s="3353"/>
      <c r="C126" s="3353"/>
      <c r="D126" s="3386" t="str">
        <f>H111</f>
        <v>——</v>
      </c>
      <c r="E126" s="3387"/>
      <c r="F126" s="3387"/>
      <c r="G126" s="3387"/>
      <c r="H126" s="3387"/>
      <c r="I126" s="3388"/>
      <c r="AA126" s="683"/>
    </row>
    <row r="127" spans="1:27" ht="18.75" customHeight="1">
      <c r="A127" s="3322" t="s">
        <v>1452</v>
      </c>
      <c r="B127" s="3322"/>
      <c r="C127" s="3322"/>
      <c r="D127" s="3362" t="e">
        <f>NUMBERSTRING(INT(D126*10000),2)&amp;"元整"</f>
        <v>#VALUE!</v>
      </c>
      <c r="E127" s="3363"/>
      <c r="F127" s="3363"/>
      <c r="G127" s="3363"/>
      <c r="H127" s="3363"/>
      <c r="I127" s="3364"/>
      <c r="AA127" s="683"/>
    </row>
    <row r="128" spans="1:27" ht="21.75" customHeight="1">
      <c r="A128" s="3369" t="s">
        <v>1453</v>
      </c>
      <c r="B128" s="3369"/>
      <c r="C128" s="3369"/>
      <c r="D128" s="3369"/>
      <c r="E128" s="3369"/>
      <c r="F128" s="3369"/>
      <c r="G128" s="3369"/>
      <c r="H128" s="3369"/>
      <c r="I128" s="3369"/>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D7">
    <cfRule type="cellIs" dxfId="117" priority="10" stopIfTrue="1" operator="equal">
      <formula>25</formula>
    </cfRule>
  </conditionalFormatting>
  <conditionalFormatting sqref="C8:D13">
    <cfRule type="cellIs" dxfId="116" priority="8" stopIfTrue="1" operator="equal">
      <formula>15</formula>
    </cfRule>
  </conditionalFormatting>
  <conditionalFormatting sqref="C14:D16">
    <cfRule type="cellIs" dxfId="115"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11230994</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2070509</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8136399</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8136399</v>
      </c>
      <c r="D8" s="213"/>
      <c r="E8" s="211"/>
      <c r="F8" s="212"/>
      <c r="G8" s="1712"/>
    </row>
    <row r="9" spans="1:9" s="205" customFormat="1" ht="13.5" customHeight="1">
      <c r="A9" s="732" t="s">
        <v>355</v>
      </c>
      <c r="B9" s="215" t="s">
        <v>1478</v>
      </c>
      <c r="C9" s="216">
        <f ca="1">ROUND(D9*E9/10000,0)</f>
        <v>814</v>
      </c>
      <c r="D9" s="794">
        <f ca="1">IF(B1="",'数据-汇总表'!E5,IF(INDIRECT("'数据-取费表'!c"&amp;$G$1)="住宅",INDIRECT("'数据-取费表'!k"&amp;$G$1),0))</f>
        <v>54242.66</v>
      </c>
      <c r="E9" s="216">
        <f>'数据-取费表'!B27</f>
        <v>150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1085</v>
      </c>
      <c r="D19" s="203">
        <f ca="1">D9+D10</f>
        <v>54242.66</v>
      </c>
      <c r="E19" s="202">
        <f>'数据-取费表'!B31</f>
        <v>200</v>
      </c>
      <c r="F19" s="222"/>
      <c r="G19" s="1712"/>
    </row>
    <row r="20" spans="1:7" s="205" customFormat="1" ht="13.5" customHeight="1">
      <c r="A20" s="246" t="s">
        <v>1493</v>
      </c>
      <c r="B20" s="201" t="s">
        <v>1494</v>
      </c>
      <c r="C20" s="223">
        <f ca="1">ROUND((C5+C19)*F20,0)</f>
        <v>162750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799153</v>
      </c>
      <c r="D22" s="226">
        <f ca="1">C26</f>
        <v>1E-3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791316</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106</v>
      </c>
      <c r="D24" s="229"/>
      <c r="E24" s="229"/>
      <c r="F24" s="230"/>
      <c r="G24" s="231" t="s">
        <v>1507</v>
      </c>
    </row>
    <row r="25" spans="1:7" s="205" customFormat="1" ht="24">
      <c r="A25" s="733" t="s">
        <v>1508</v>
      </c>
      <c r="B25" s="206" t="s">
        <v>1509</v>
      </c>
      <c r="C25" s="1041">
        <f ca="1">ROUND(IF('数据-取费表'!B22&lt;=1,C20*F22*'数据-取费表'!B23/2,C20*(POWER((1+F22),'数据-取费表'!B23/2)-1)),0)</f>
        <v>7731</v>
      </c>
      <c r="D25" s="229"/>
      <c r="E25" s="232"/>
      <c r="F25" s="230"/>
      <c r="G25" s="233" t="s">
        <v>1510</v>
      </c>
    </row>
    <row r="26" spans="1:7" s="205" customFormat="1">
      <c r="A26" s="733"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1245035</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1245035</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11200110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24843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21697</v>
      </c>
      <c r="D34" s="208"/>
      <c r="E34" s="211"/>
      <c r="F34" s="248">
        <f ca="1">IF('数据-取费表'!B24=0,1,IF(B1="",'数据-取费表'!N16,INDIRECT("'数据-取费表'!n"&amp;$G$1)))</f>
        <v>1</v>
      </c>
      <c r="G34" s="210" t="s">
        <v>1526</v>
      </c>
    </row>
    <row r="35" spans="1:7" ht="13.5" customHeight="1">
      <c r="A35" s="733" t="s">
        <v>351</v>
      </c>
      <c r="B35" s="206" t="s">
        <v>1527</v>
      </c>
      <c r="C35" s="211">
        <f ca="1">ROUND(C34*F35,0)</f>
        <v>651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1085</v>
      </c>
      <c r="D36" s="211"/>
      <c r="E36" s="211"/>
      <c r="F36" s="250">
        <f>'数据-取费表'!B34</f>
        <v>0.05</v>
      </c>
      <c r="G36" s="251" t="s">
        <v>1530</v>
      </c>
    </row>
    <row r="37" spans="1:7" s="249" customFormat="1" ht="13.5" customHeight="1">
      <c r="A37" s="733" t="s">
        <v>353</v>
      </c>
      <c r="B37" s="206" t="s">
        <v>1531</v>
      </c>
      <c r="C37" s="240">
        <f ca="1">ROUND(E37*D37*F34/10000,0)</f>
        <v>1085</v>
      </c>
      <c r="D37" s="208">
        <f ca="1">D19</f>
        <v>54242.66</v>
      </c>
      <c r="E37" s="240">
        <f>'数据-取费表'!B35</f>
        <v>200</v>
      </c>
      <c r="F37" s="250"/>
      <c r="G37" s="252" t="s">
        <v>1532</v>
      </c>
    </row>
    <row r="38" spans="1:7" ht="13.5" customHeight="1">
      <c r="A38" s="733" t="s">
        <v>354</v>
      </c>
      <c r="B38" s="206" t="s">
        <v>1533</v>
      </c>
      <c r="C38" s="211">
        <f ca="1">ROUND(C34*F38,0)</f>
        <v>325</v>
      </c>
      <c r="D38" s="211"/>
      <c r="E38" s="211"/>
      <c r="F38" s="250">
        <f>'数据-取费表'!B36</f>
        <v>1.4999999999999999E-2</v>
      </c>
      <c r="G38" s="210" t="s">
        <v>1528</v>
      </c>
    </row>
    <row r="39" spans="1:7" s="205" customFormat="1" ht="13.5" customHeight="1">
      <c r="A39" s="246" t="s">
        <v>1534</v>
      </c>
      <c r="B39" s="201" t="s">
        <v>1535</v>
      </c>
      <c r="C39" s="223">
        <f ca="1">ROUND(C33*F20,0)</f>
        <v>497</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1204</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1180</v>
      </c>
      <c r="D42" s="229"/>
      <c r="E42" s="229"/>
      <c r="F42" s="230"/>
      <c r="G42" s="3402" t="s">
        <v>1544</v>
      </c>
    </row>
    <row r="43" spans="1:7" ht="13.5" customHeight="1">
      <c r="A43" s="733" t="s">
        <v>347</v>
      </c>
      <c r="B43" s="206" t="s">
        <v>1545</v>
      </c>
      <c r="C43" s="229">
        <f ca="1">ROUND(IF('数据-取费表'!B22&lt;=1,C39*F22*'数据-取费表'!B21/2,C39*(POWER((1+F22),'数据-取费表'!B21/2)-1)),0)</f>
        <v>24</v>
      </c>
      <c r="D43" s="229"/>
      <c r="E43" s="229"/>
      <c r="F43" s="230"/>
      <c r="G43" s="3403"/>
    </row>
    <row r="44" spans="1:7" ht="13.5" customHeight="1">
      <c r="A44" s="733" t="s">
        <v>348</v>
      </c>
      <c r="B44" s="206" t="s">
        <v>1546</v>
      </c>
      <c r="C44" s="229">
        <f ca="1">ROUND(IF('数据-取费表'!B22&lt;=1,C40*F22*'数据-取费表'!B21/2,C40*(POWER((1+F22),'数据-取费表'!B21/2)-1)),4)</f>
        <v>1E-3</v>
      </c>
      <c r="D44" s="229"/>
      <c r="E44" s="229"/>
      <c r="F44" s="230"/>
      <c r="G44" s="3404"/>
    </row>
    <row r="45" spans="1:7" s="205" customFormat="1" ht="13.5" customHeight="1">
      <c r="A45" s="246" t="s">
        <v>1547</v>
      </c>
      <c r="B45" s="235" t="s">
        <v>1513</v>
      </c>
      <c r="C45" s="236">
        <f ca="1">C46</f>
        <v>3801</v>
      </c>
      <c r="D45" s="226">
        <f ca="1">C47</f>
        <v>3.0000000000000001E-3</v>
      </c>
      <c r="E45" s="227" t="s">
        <v>1539</v>
      </c>
      <c r="F45" s="237">
        <f ca="1">F27</f>
        <v>0.15</v>
      </c>
      <c r="G45" s="238" t="s">
        <v>1548</v>
      </c>
    </row>
    <row r="46" spans="1:7" s="205" customFormat="1" ht="13.5" customHeight="1">
      <c r="A46" s="733" t="s">
        <v>346</v>
      </c>
      <c r="B46" s="239" t="s">
        <v>1549</v>
      </c>
      <c r="C46" s="240">
        <f ca="1">ROUND((C33+C39)*F27,0)</f>
        <v>3801</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32855</v>
      </c>
      <c r="D49" s="223"/>
      <c r="E49" s="223"/>
      <c r="F49" s="255"/>
      <c r="G49" s="225" t="s">
        <v>1554</v>
      </c>
    </row>
    <row r="50" spans="1:7" s="249" customFormat="1" ht="24">
      <c r="A50" s="246" t="s">
        <v>1555</v>
      </c>
      <c r="B50" s="201" t="s">
        <v>1556</v>
      </c>
      <c r="C50" s="223"/>
      <c r="D50" s="223"/>
      <c r="E50" s="223"/>
      <c r="F50" s="255">
        <f>IF('数据-取费表'!B24=0,'数据-取费表'!N16,1)</f>
        <v>0.94</v>
      </c>
      <c r="G50" s="238" t="s">
        <v>1557</v>
      </c>
    </row>
    <row r="51" spans="1:7" ht="16.5" customHeight="1">
      <c r="A51" s="246" t="s">
        <v>1558</v>
      </c>
      <c r="B51" s="201" t="s">
        <v>1559</v>
      </c>
      <c r="C51" s="223">
        <f ca="1">ROUND(C49*F50,0)</f>
        <v>30884</v>
      </c>
      <c r="D51" s="223"/>
      <c r="E51" s="223"/>
      <c r="F51" s="255"/>
      <c r="G51" s="225" t="s">
        <v>1560</v>
      </c>
    </row>
    <row r="52" spans="1:7" s="199" customFormat="1" ht="16.5" thickBot="1">
      <c r="A52" s="256" t="s">
        <v>1561</v>
      </c>
      <c r="B52" s="257"/>
      <c r="C52" s="258">
        <f ca="1">C31+C51</f>
        <v>11230994</v>
      </c>
      <c r="D52" s="257"/>
      <c r="E52" s="257"/>
      <c r="F52" s="257"/>
      <c r="G52" s="259"/>
    </row>
    <row r="55" spans="1:7" ht="15">
      <c r="B55" s="261" t="s">
        <v>1562</v>
      </c>
      <c r="C55" s="262"/>
    </row>
    <row r="56" spans="1:7">
      <c r="B56" s="264" t="s">
        <v>802</v>
      </c>
      <c r="C56" s="266">
        <f ca="1">1-C57</f>
        <v>0.997</v>
      </c>
    </row>
    <row r="57" spans="1:7">
      <c r="B57" s="264" t="s">
        <v>803</v>
      </c>
      <c r="C57" s="265">
        <f ca="1">ROUND(C51/C52,3)</f>
        <v>3.0000000000000001E-3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20" t="str">
        <f>项目基本情况!B1</f>
        <v>北京市预评估</v>
      </c>
      <c r="C37" s="3220"/>
      <c r="D37" s="3220"/>
      <c r="E37" s="3220"/>
      <c r="F37" s="3220"/>
      <c r="G37" s="3220"/>
      <c r="H37" s="3220"/>
      <c r="I37" s="3220"/>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9274093</v>
      </c>
      <c r="C2" s="267" t="s">
        <v>1595</v>
      </c>
      <c r="D2" s="267"/>
      <c r="E2" s="2562"/>
      <c r="F2" s="2562"/>
      <c r="G2" s="2562"/>
      <c r="H2" s="2562"/>
      <c r="I2" s="2562"/>
      <c r="J2" s="2562"/>
      <c r="K2" s="2562"/>
    </row>
    <row r="3" spans="1:33" ht="18" customHeight="1" thickBot="1">
      <c r="A3" s="194" t="s">
        <v>1464</v>
      </c>
      <c r="B3" s="195">
        <f ca="1">ROUND(B2*10000/IF(C1="",'数据-汇总表'!E3,INDIRECT("'数据-取费表'!K"&amp;$K$1)),0)</f>
        <v>1709742</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54242.66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54242.66</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-8135585</v>
      </c>
      <c r="D18" s="795"/>
      <c r="E18" s="21"/>
      <c r="F18" s="755"/>
      <c r="G18" s="1718"/>
      <c r="H18" s="1104"/>
      <c r="I18" s="1719" t="s">
        <v>1625</v>
      </c>
      <c r="J18" s="758"/>
      <c r="K18" s="759"/>
    </row>
    <row r="19" spans="1:33" s="754" customFormat="1" ht="13.5" customHeight="1">
      <c r="A19" s="751" t="s">
        <v>360</v>
      </c>
      <c r="B19" s="752" t="s">
        <v>1626</v>
      </c>
      <c r="C19" s="21">
        <f ca="1">ROUND(D19*E19/10000,0)</f>
        <v>814</v>
      </c>
      <c r="D19" s="795">
        <f ca="1">IF(C1="",'数据-汇总表'!E5,IF(INDIRECT("'数据-取费表'!c"&amp;$K$1)="住宅",INDIRECT("'数据-取费表'!k"&amp;$K$1),0))</f>
        <v>54242.66</v>
      </c>
      <c r="E19" s="21">
        <f>'数据-取费表'!B27</f>
        <v>150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190</v>
      </c>
      <c r="F20" s="755"/>
      <c r="G20" s="12"/>
      <c r="H20" s="760"/>
      <c r="I20" s="760"/>
      <c r="J20" s="760"/>
      <c r="K20" s="761"/>
    </row>
    <row r="21" spans="1:33" s="754" customFormat="1" ht="13.5" customHeight="1">
      <c r="A21" s="743" t="s">
        <v>357</v>
      </c>
      <c r="B21" s="764" t="s">
        <v>1628</v>
      </c>
      <c r="C21" s="765">
        <f ca="1">C16+C17+C18</f>
        <v>-8135585</v>
      </c>
      <c r="D21" s="766"/>
      <c r="E21" s="272"/>
      <c r="F21" s="272"/>
      <c r="G21" s="122" t="s">
        <v>1629</v>
      </c>
      <c r="H21" s="758"/>
      <c r="I21" s="758"/>
      <c r="J21" s="758"/>
      <c r="K21" s="759"/>
    </row>
    <row r="22" spans="1:33" s="754" customFormat="1" ht="13.5" customHeight="1">
      <c r="A22" s="743" t="s">
        <v>1601</v>
      </c>
      <c r="B22" s="764" t="s">
        <v>1630</v>
      </c>
      <c r="C22" s="765">
        <f ca="1">ROUND(C21*F22,0)</f>
        <v>-162712</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-1244745</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-1244745</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9274093</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407" t="s">
        <v>694</v>
      </c>
      <c r="C6" s="1010">
        <f ca="1">ROUND(F6*F8*F7*(1-F9)/10000,0)</f>
        <v>0</v>
      </c>
      <c r="D6" s="146" t="s">
        <v>2106</v>
      </c>
      <c r="E6" s="293" t="s">
        <v>696</v>
      </c>
      <c r="F6" s="294">
        <f ca="1">INDIRECT("'数据-取费表'!u"&amp;$G$1)</f>
        <v>0</v>
      </c>
      <c r="G6" s="1290"/>
      <c r="H6" s="1005" t="s">
        <v>398</v>
      </c>
      <c r="I6" s="3407" t="s">
        <v>694</v>
      </c>
      <c r="J6" s="292">
        <f ca="1">ROUND(M6*M8*M7*(1-M9)/10000,0)</f>
        <v>0</v>
      </c>
      <c r="K6" s="146" t="s">
        <v>2105</v>
      </c>
      <c r="L6" s="293" t="s">
        <v>696</v>
      </c>
      <c r="M6" s="294">
        <f ca="1">INDIRECT("'数据-取费表'!z"&amp;$G$1)</f>
        <v>0</v>
      </c>
    </row>
    <row r="7" spans="1:37" ht="18" customHeight="1">
      <c r="A7" s="1009"/>
      <c r="B7" s="3408"/>
      <c r="C7" s="1011"/>
      <c r="D7" s="298"/>
      <c r="E7" s="1012" t="s">
        <v>697</v>
      </c>
      <c r="F7" s="294">
        <f ca="1">IF(INDIRECT("'数据-取费表'!ah"&amp;$G$1)="",INDIRECT("'数据-取费表'!k"&amp;$G$1),INDIRECT("'数据-取费表'!ah"&amp;$G$1))</f>
        <v>0</v>
      </c>
      <c r="G7" s="1290"/>
      <c r="H7" s="295"/>
      <c r="I7" s="3408"/>
      <c r="J7" s="297"/>
      <c r="K7" s="298"/>
      <c r="L7" s="293" t="s">
        <v>697</v>
      </c>
      <c r="M7" s="294">
        <f ca="1">F7</f>
        <v>0</v>
      </c>
    </row>
    <row r="8" spans="1:37" ht="18" customHeight="1">
      <c r="A8" s="295"/>
      <c r="B8" s="3408"/>
      <c r="C8" s="297"/>
      <c r="D8" s="298"/>
      <c r="E8" s="293" t="s">
        <v>698</v>
      </c>
      <c r="F8" s="294">
        <f ca="1">INDIRECT("'数据-取费表'!ai"&amp;$G$1)</f>
        <v>0</v>
      </c>
      <c r="G8" s="1290"/>
      <c r="H8" s="295"/>
      <c r="I8" s="3408"/>
      <c r="J8" s="297"/>
      <c r="K8" s="298"/>
      <c r="L8" s="293" t="s">
        <v>698</v>
      </c>
      <c r="M8" s="294">
        <f ca="1">INDIRECT("'数据-取费表'!ai"&amp;$G$1)</f>
        <v>0</v>
      </c>
    </row>
    <row r="9" spans="1:37" ht="18" customHeight="1">
      <c r="A9" s="295"/>
      <c r="B9" s="3409"/>
      <c r="C9" s="297"/>
      <c r="D9" s="298"/>
      <c r="E9" s="293" t="s">
        <v>699</v>
      </c>
      <c r="F9" s="303">
        <f ca="1">INDIRECT("'数据-取费表'!w"&amp;$G$1)</f>
        <v>0</v>
      </c>
      <c r="G9" s="1290"/>
      <c r="H9" s="295"/>
      <c r="I9" s="3409"/>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405" t="s">
        <v>837</v>
      </c>
      <c r="L53" s="3406"/>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I55 I60">
    <cfRule type="expression" dxfId="114" priority="57">
      <formula>$J$51&gt;$L$48</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416" t="s">
        <v>2315</v>
      </c>
      <c r="K2" s="3417"/>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418" t="s">
        <v>2325</v>
      </c>
      <c r="K3" s="3419"/>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418" t="s">
        <v>2327</v>
      </c>
      <c r="K4" s="3419"/>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424" t="s">
        <v>2331</v>
      </c>
      <c r="B6" s="3425"/>
      <c r="C6" s="3426"/>
      <c r="D6" s="2615"/>
      <c r="E6" s="2616"/>
      <c r="F6" s="2617"/>
      <c r="G6" s="2618"/>
      <c r="H6" s="2593"/>
      <c r="I6" s="2594"/>
      <c r="J6" s="3410">
        <v>1</v>
      </c>
      <c r="K6" s="3411"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410"/>
      <c r="K7" s="3412"/>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427" t="s">
        <v>2345</v>
      </c>
      <c r="C8" s="3428"/>
      <c r="D8" s="2634" t="s">
        <v>2346</v>
      </c>
      <c r="E8" s="2635" t="s">
        <v>2347</v>
      </c>
      <c r="F8" s="2636" t="s">
        <v>2348</v>
      </c>
      <c r="G8" s="2637"/>
      <c r="H8" s="2593"/>
      <c r="I8" s="2594"/>
      <c r="J8" s="3410"/>
      <c r="K8" s="3412"/>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427" t="s">
        <v>2351</v>
      </c>
      <c r="C9" s="3428"/>
      <c r="D9" s="2634">
        <f>ROUND(D6*E9,0)</f>
        <v>0</v>
      </c>
      <c r="E9" s="2638"/>
      <c r="F9" s="2639" t="s">
        <v>2352</v>
      </c>
      <c r="G9" s="2618"/>
      <c r="H9" s="2593"/>
      <c r="I9" s="2594"/>
      <c r="J9" s="3410"/>
      <c r="K9" s="3412"/>
      <c r="L9" s="2628" t="s">
        <v>2353</v>
      </c>
      <c r="M9" s="2629"/>
      <c r="N9" s="2605"/>
      <c r="O9" s="2630"/>
      <c r="P9" s="2630"/>
      <c r="Q9" s="2631">
        <v>365</v>
      </c>
      <c r="R9" s="2632">
        <f t="shared" si="0"/>
        <v>0</v>
      </c>
      <c r="S9" s="2586"/>
      <c r="T9" s="2586"/>
      <c r="U9" s="2586"/>
      <c r="V9" s="2594"/>
    </row>
    <row r="10" spans="1:22" s="2598" customFormat="1" ht="13.15" customHeight="1">
      <c r="A10" s="2633">
        <v>2</v>
      </c>
      <c r="B10" s="3427" t="s">
        <v>2354</v>
      </c>
      <c r="C10" s="3428"/>
      <c r="D10" s="2634">
        <f>ROUND(D6*E10,0)</f>
        <v>0</v>
      </c>
      <c r="E10" s="2638"/>
      <c r="F10" s="2639" t="s">
        <v>2355</v>
      </c>
      <c r="G10" s="2618"/>
      <c r="H10" s="2593"/>
      <c r="I10" s="2594"/>
      <c r="J10" s="3410"/>
      <c r="K10" s="3412"/>
      <c r="L10" s="2628" t="s">
        <v>2356</v>
      </c>
      <c r="M10" s="2629"/>
      <c r="N10" s="2605"/>
      <c r="O10" s="2630"/>
      <c r="P10" s="2630"/>
      <c r="Q10" s="2631">
        <v>365</v>
      </c>
      <c r="R10" s="2632">
        <f t="shared" si="0"/>
        <v>0</v>
      </c>
      <c r="S10" s="2586"/>
      <c r="T10" s="2586"/>
      <c r="U10" s="2586"/>
      <c r="V10" s="2594"/>
    </row>
    <row r="11" spans="1:22" s="2598" customFormat="1" ht="13.15" customHeight="1">
      <c r="A11" s="2633">
        <v>3</v>
      </c>
      <c r="B11" s="3427" t="s">
        <v>2357</v>
      </c>
      <c r="C11" s="3428"/>
      <c r="D11" s="2634">
        <f>D12+D14+D15+D16</f>
        <v>0</v>
      </c>
      <c r="E11" s="2640" t="e">
        <f>D11/D6</f>
        <v>#DIV/0!</v>
      </c>
      <c r="F11" s="2636"/>
      <c r="G11" s="2637"/>
      <c r="H11" s="2593"/>
      <c r="I11" s="2594"/>
      <c r="J11" s="3410"/>
      <c r="K11" s="3412"/>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420" t="s">
        <v>2360</v>
      </c>
      <c r="C12" s="3421"/>
      <c r="D12" s="2642">
        <f>ROUND(D13*1.2%*(1-30%),0)</f>
        <v>0</v>
      </c>
      <c r="E12" s="2643">
        <v>1.2E-2</v>
      </c>
      <c r="F12" s="2636" t="s">
        <v>2361</v>
      </c>
      <c r="G12" s="2637"/>
      <c r="H12" s="2593"/>
      <c r="I12" s="2594"/>
      <c r="J12" s="3410"/>
      <c r="K12" s="3412"/>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410"/>
      <c r="K13" s="3412"/>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420" t="s">
        <v>2366</v>
      </c>
      <c r="C14" s="3421"/>
      <c r="D14" s="2642">
        <f>ROUND(E14*B5/10000,0)</f>
        <v>0</v>
      </c>
      <c r="E14" s="2631"/>
      <c r="F14" s="2636" t="s">
        <v>2367</v>
      </c>
      <c r="G14" s="2637"/>
      <c r="H14" s="2593"/>
      <c r="I14" s="2594"/>
      <c r="J14" s="3410"/>
      <c r="K14" s="3413"/>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420" t="s">
        <v>2370</v>
      </c>
      <c r="C15" s="3421"/>
      <c r="D15" s="2642">
        <f>ROUND(D6*E15,0)</f>
        <v>0</v>
      </c>
      <c r="E15" s="2643">
        <v>5.5E-2</v>
      </c>
      <c r="F15" s="2636" t="s">
        <v>2371</v>
      </c>
      <c r="G15" s="2618"/>
      <c r="H15" s="2593"/>
      <c r="I15" s="2594"/>
      <c r="J15" s="3410">
        <v>2</v>
      </c>
      <c r="K15" s="3411"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420" t="s">
        <v>2379</v>
      </c>
      <c r="C16" s="3421"/>
      <c r="D16" s="2653">
        <f>D6*E16</f>
        <v>0</v>
      </c>
      <c r="E16" s="2654"/>
      <c r="F16" s="2639" t="s">
        <v>2380</v>
      </c>
      <c r="G16" s="2618"/>
      <c r="H16" s="2593"/>
      <c r="I16" s="2594"/>
      <c r="J16" s="3410"/>
      <c r="K16" s="3412"/>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422" t="s">
        <v>2382</v>
      </c>
      <c r="C17" s="3423"/>
      <c r="D17" s="2656">
        <f>ROUND(D6*E17,0)</f>
        <v>0</v>
      </c>
      <c r="E17" s="2657"/>
      <c r="F17" s="2658" t="s">
        <v>2383</v>
      </c>
      <c r="G17" s="2618"/>
      <c r="H17" s="2593"/>
      <c r="I17" s="2594"/>
      <c r="J17" s="3410"/>
      <c r="K17" s="3412"/>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410"/>
      <c r="K18" s="3412"/>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410"/>
      <c r="K19" s="3413"/>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10">
        <v>3</v>
      </c>
      <c r="K20" s="3411"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410"/>
      <c r="K21" s="3412"/>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410"/>
      <c r="K22" s="3412"/>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410"/>
      <c r="K23" s="3412"/>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410"/>
      <c r="K24" s="3413"/>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414">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415"/>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416" t="s">
        <v>2315</v>
      </c>
      <c r="K32" s="3417"/>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418" t="s">
        <v>2325</v>
      </c>
      <c r="K33" s="3419"/>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418" t="s">
        <v>2327</v>
      </c>
      <c r="K34" s="3419"/>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410">
        <v>1</v>
      </c>
      <c r="K36" s="3411"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410"/>
      <c r="K37" s="3412"/>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10"/>
      <c r="K38" s="3412"/>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410"/>
      <c r="K39" s="3412"/>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410"/>
      <c r="K40" s="3413"/>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414">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415"/>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1.7975000000000001</v>
      </c>
      <c r="C2" s="1727" t="s">
        <v>1651</v>
      </c>
      <c r="D2" s="1728" t="s">
        <v>1652</v>
      </c>
      <c r="E2" s="2387">
        <f>SUM(E6:E13)</f>
        <v>54242.66</v>
      </c>
      <c r="F2" s="2474"/>
      <c r="G2" s="458"/>
      <c r="H2" s="458"/>
      <c r="I2" s="458"/>
      <c r="J2" s="458"/>
      <c r="K2" s="458"/>
      <c r="L2" s="458"/>
      <c r="M2" s="458"/>
      <c r="N2" s="458"/>
      <c r="O2" s="458"/>
      <c r="P2" s="458"/>
      <c r="Q2" s="458"/>
      <c r="R2" s="458"/>
      <c r="S2" s="458"/>
    </row>
    <row r="3" spans="1:22" ht="15.75">
      <c r="A3" s="1726" t="s">
        <v>686</v>
      </c>
      <c r="B3" s="2381">
        <f ca="1">ROUND(B2*10000/E2,0)</f>
        <v>0</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429" t="s">
        <v>1654</v>
      </c>
      <c r="C5" s="3430"/>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1.7975000000000001</v>
      </c>
      <c r="C6" s="1727" t="s">
        <v>1651</v>
      </c>
      <c r="D6" s="2474"/>
      <c r="E6" s="2386">
        <f>IF(OR(A6=0,F6="否"),0,'数据-取费表'!K6+'数据-取费表'!S6)</f>
        <v>54242.66</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4" zoomScale="90" zoomScaleNormal="60" zoomScaleSheetLayoutView="90" workbookViewId="0">
      <selection activeCell="J44" sqref="J44"/>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3389</v>
      </c>
      <c r="F1" s="1733" t="s">
        <v>3382</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145017.75150000001</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26735</v>
      </c>
      <c r="C3" s="343" t="s">
        <v>1665</v>
      </c>
      <c r="D3" s="342">
        <f>IF(D1="",'数据-汇总表'!E3,SUMIF('数据-汇总表'!$C19:$C33,D1,'数据-汇总表'!$E19:$E33))</f>
        <v>54242.66</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49" t="s">
        <v>1667</v>
      </c>
      <c r="D4" s="3450"/>
      <c r="E4" s="3451" t="s">
        <v>1668</v>
      </c>
      <c r="F4" s="3452"/>
      <c r="G4" s="3449" t="s">
        <v>1669</v>
      </c>
      <c r="H4" s="3450"/>
      <c r="I4" s="3449" t="s">
        <v>1670</v>
      </c>
      <c r="J4" s="3450"/>
      <c r="K4" s="1742" t="s">
        <v>1671</v>
      </c>
      <c r="L4" s="2481"/>
      <c r="M4" s="2482"/>
      <c r="N4" s="2482"/>
      <c r="O4" s="2482"/>
      <c r="P4" s="3453" t="s">
        <v>1672</v>
      </c>
      <c r="Q4" s="3454"/>
      <c r="R4" s="3459" t="s">
        <v>1668</v>
      </c>
      <c r="S4" s="3460"/>
      <c r="T4" s="3459" t="s">
        <v>1669</v>
      </c>
      <c r="U4" s="3460"/>
      <c r="V4" s="3435" t="s">
        <v>1670</v>
      </c>
      <c r="W4" s="3435"/>
      <c r="X4" s="1263"/>
      <c r="Y4" s="3459" t="s">
        <v>1672</v>
      </c>
      <c r="Z4" s="3460"/>
      <c r="AA4" s="3446" t="s">
        <v>1668</v>
      </c>
      <c r="AB4" s="3446" t="s">
        <v>1669</v>
      </c>
      <c r="AC4" s="3446" t="s">
        <v>1670</v>
      </c>
    </row>
    <row r="5" spans="1:29" ht="15">
      <c r="A5" s="347"/>
      <c r="B5" s="348"/>
      <c r="C5" s="3472" t="s">
        <v>3457</v>
      </c>
      <c r="D5" s="3473"/>
      <c r="E5" s="3476" t="s">
        <v>3459</v>
      </c>
      <c r="F5" s="3477"/>
      <c r="G5" s="3467" t="s">
        <v>3488</v>
      </c>
      <c r="H5" s="3468"/>
      <c r="I5" s="3472" t="s">
        <v>3465</v>
      </c>
      <c r="J5" s="3473"/>
      <c r="K5" s="1743"/>
      <c r="L5" s="2481"/>
      <c r="M5" s="2482"/>
      <c r="N5" s="2482"/>
      <c r="O5" s="2482"/>
      <c r="P5" s="3455"/>
      <c r="Q5" s="3456"/>
      <c r="R5" s="3461"/>
      <c r="S5" s="3462"/>
      <c r="T5" s="3461"/>
      <c r="U5" s="3462"/>
      <c r="V5" s="3435"/>
      <c r="W5" s="3435"/>
      <c r="X5" s="1263"/>
      <c r="Y5" s="3461"/>
      <c r="Z5" s="3462"/>
      <c r="AA5" s="3447"/>
      <c r="AB5" s="3447"/>
      <c r="AC5" s="3447"/>
    </row>
    <row r="6" spans="1:29" ht="15.75" thickBot="1">
      <c r="A6" s="349"/>
      <c r="B6" s="350"/>
      <c r="C6" s="3465" t="s">
        <v>1677</v>
      </c>
      <c r="D6" s="3466"/>
      <c r="E6" s="3474" t="s">
        <v>1677</v>
      </c>
      <c r="F6" s="3475"/>
      <c r="G6" s="3465" t="s">
        <v>1677</v>
      </c>
      <c r="H6" s="3466"/>
      <c r="I6" s="3465" t="s">
        <v>1677</v>
      </c>
      <c r="J6" s="3466"/>
      <c r="K6" s="1743" t="s">
        <v>1678</v>
      </c>
      <c r="L6" s="2481"/>
      <c r="M6" s="2482"/>
      <c r="N6" s="2482"/>
      <c r="O6" s="2482"/>
      <c r="P6" s="3457"/>
      <c r="Q6" s="3458"/>
      <c r="R6" s="3461"/>
      <c r="S6" s="3462"/>
      <c r="T6" s="3463"/>
      <c r="U6" s="3464"/>
      <c r="V6" s="3435"/>
      <c r="W6" s="3435"/>
      <c r="X6" s="1263"/>
      <c r="Y6" s="3463"/>
      <c r="Z6" s="3464"/>
      <c r="AA6" s="3448"/>
      <c r="AB6" s="3448"/>
      <c r="AC6" s="3448"/>
    </row>
    <row r="7" spans="1:29" s="101" customFormat="1" ht="15.75" thickBot="1">
      <c r="A7" s="351" t="s">
        <v>1679</v>
      </c>
      <c r="B7" s="352"/>
      <c r="C7" s="353">
        <f>'数据-取费表'!B2</f>
        <v>45652</v>
      </c>
      <c r="D7" s="354">
        <v>100</v>
      </c>
      <c r="E7" s="355">
        <f>C7</f>
        <v>45652</v>
      </c>
      <c r="F7" s="356">
        <f>SUMIF(58:58,YEAR(E7)&amp;"-"&amp;MONTH(E7),59:59)</f>
        <v>100</v>
      </c>
      <c r="G7" s="355">
        <f>E7</f>
        <v>45652</v>
      </c>
      <c r="H7" s="354">
        <f>SUMIF(58:58,YEAR(G7)&amp;"-"&amp;MONTH(G7),59:59)</f>
        <v>100</v>
      </c>
      <c r="I7" s="355">
        <f>C7</f>
        <v>45652</v>
      </c>
      <c r="J7" s="354">
        <f>SUMIF(58:58,YEAR(I7)&amp;"-"&amp;MONTH(I7),59:59)</f>
        <v>100</v>
      </c>
      <c r="K7" s="3171"/>
      <c r="L7" s="2483"/>
      <c r="M7" s="2434"/>
      <c r="N7" s="2434"/>
      <c r="O7" s="2434"/>
      <c r="P7" s="3469" t="s">
        <v>1680</v>
      </c>
      <c r="Q7" s="3471"/>
      <c r="R7" s="663" t="s">
        <v>20</v>
      </c>
      <c r="S7" s="664">
        <f t="shared" ref="S7:S15" si="0">F7</f>
        <v>100</v>
      </c>
      <c r="T7" s="663" t="s">
        <v>20</v>
      </c>
      <c r="U7" s="664">
        <f t="shared" ref="U7:U15" si="1">H7</f>
        <v>100</v>
      </c>
      <c r="V7" s="663" t="s">
        <v>20</v>
      </c>
      <c r="W7" s="664">
        <f t="shared" ref="W7:W15" si="2">J7</f>
        <v>100</v>
      </c>
      <c r="X7" s="665"/>
      <c r="Y7" s="3469" t="s">
        <v>1680</v>
      </c>
      <c r="Z7" s="3470"/>
      <c r="AA7" s="50">
        <f>D7/F7</f>
        <v>1</v>
      </c>
      <c r="AB7" s="50">
        <f>D7/H7</f>
        <v>1</v>
      </c>
      <c r="AC7" s="50">
        <f>D7/J7</f>
        <v>1</v>
      </c>
    </row>
    <row r="8" spans="1:29" s="101" customFormat="1" ht="15.75" thickBot="1">
      <c r="A8" s="351" t="s">
        <v>1681</v>
      </c>
      <c r="B8" s="352"/>
      <c r="C8" s="357" t="s">
        <v>3407</v>
      </c>
      <c r="D8" s="354">
        <v>100</v>
      </c>
      <c r="E8" s="357" t="s">
        <v>3407</v>
      </c>
      <c r="F8" s="356">
        <f>SUMIF(61:61,E8,62:62)-SUMIF(61:61,C8,62:62)+100</f>
        <v>100</v>
      </c>
      <c r="G8" s="357" t="s">
        <v>3407</v>
      </c>
      <c r="H8" s="354">
        <f>SUMIF(61:61,G8,62:62)-SUMIF(61:61,C8,62:62)+100</f>
        <v>100</v>
      </c>
      <c r="I8" s="357" t="s">
        <v>3407</v>
      </c>
      <c r="J8" s="354">
        <f>SUMIF(61:61,I8,62:62)-SUMIF(61:61,C8,62:62)+100</f>
        <v>100</v>
      </c>
      <c r="K8" s="1744"/>
      <c r="L8" s="2483"/>
      <c r="M8" s="2434"/>
      <c r="N8" s="2434"/>
      <c r="O8" s="2434"/>
      <c r="P8" s="3469" t="s">
        <v>1683</v>
      </c>
      <c r="Q8" s="3470"/>
      <c r="R8" s="663" t="s">
        <v>20</v>
      </c>
      <c r="S8" s="664">
        <f t="shared" si="0"/>
        <v>100</v>
      </c>
      <c r="T8" s="663" t="s">
        <v>20</v>
      </c>
      <c r="U8" s="664">
        <f t="shared" si="1"/>
        <v>100</v>
      </c>
      <c r="V8" s="663" t="s">
        <v>20</v>
      </c>
      <c r="W8" s="664">
        <f t="shared" si="2"/>
        <v>100</v>
      </c>
      <c r="X8" s="665"/>
      <c r="Y8" s="3469" t="s">
        <v>1683</v>
      </c>
      <c r="Z8" s="3470"/>
      <c r="AA8" s="50">
        <f t="shared" ref="AA8:AA19" si="3">D8/F8</f>
        <v>1</v>
      </c>
      <c r="AB8" s="50">
        <f t="shared" ref="AB8:AB19" si="4">D8/H8</f>
        <v>1</v>
      </c>
      <c r="AC8" s="50">
        <f t="shared" ref="AC8:AC19" si="5">D8/J8</f>
        <v>1</v>
      </c>
    </row>
    <row r="9" spans="1:29" s="101" customFormat="1">
      <c r="A9" s="358" t="s">
        <v>1684</v>
      </c>
      <c r="B9" s="60" t="s">
        <v>1685</v>
      </c>
      <c r="C9" s="3152" t="s">
        <v>3408</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45" t="s">
        <v>1686</v>
      </c>
      <c r="Q9" s="529" t="str">
        <f t="shared" ref="Q9:Q15" si="6">B9</f>
        <v>用途</v>
      </c>
      <c r="R9" s="663" t="s">
        <v>14</v>
      </c>
      <c r="S9" s="664">
        <f t="shared" si="0"/>
        <v>100</v>
      </c>
      <c r="T9" s="663" t="s">
        <v>14</v>
      </c>
      <c r="U9" s="664">
        <f t="shared" si="1"/>
        <v>100</v>
      </c>
      <c r="V9" s="663" t="s">
        <v>14</v>
      </c>
      <c r="W9" s="664">
        <f t="shared" si="2"/>
        <v>100</v>
      </c>
      <c r="X9" s="665"/>
      <c r="Y9" s="3309" t="s">
        <v>1687</v>
      </c>
      <c r="Z9" s="50" t="str">
        <f t="shared" ref="Z9:Z15" si="7">Q9</f>
        <v>用途</v>
      </c>
      <c r="AA9" s="50">
        <f t="shared" si="3"/>
        <v>1</v>
      </c>
      <c r="AB9" s="50">
        <f t="shared" si="4"/>
        <v>1</v>
      </c>
      <c r="AC9" s="50">
        <f t="shared" si="5"/>
        <v>1</v>
      </c>
    </row>
    <row r="10" spans="1:29" s="365" customFormat="1" ht="15.75" thickBot="1">
      <c r="A10" s="362"/>
      <c r="B10" s="3170" t="s">
        <v>3435</v>
      </c>
      <c r="C10" s="3173" t="s">
        <v>3437</v>
      </c>
      <c r="D10" s="118">
        <v>100</v>
      </c>
      <c r="E10" s="3172" t="s">
        <v>3436</v>
      </c>
      <c r="F10" s="363">
        <f>SUMIF(65:65,E10,66:66)-SUMIF(65:65,C10,66:66)+100</f>
        <v>100</v>
      </c>
      <c r="G10" s="3172" t="s">
        <v>3436</v>
      </c>
      <c r="H10" s="118">
        <f>SUMIF(65:65,G10,66:66)-SUMIF(65:65,C10,66:66)+100</f>
        <v>100</v>
      </c>
      <c r="I10" s="3172" t="s">
        <v>3436</v>
      </c>
      <c r="J10" s="118">
        <f>SUMIF(65:65,I10,66:66)-SUMIF(65:65,C10,66:66)+100</f>
        <v>100</v>
      </c>
      <c r="K10" s="1744"/>
      <c r="L10" s="2484"/>
      <c r="M10" s="2485"/>
      <c r="N10" s="2485"/>
      <c r="O10" s="2485"/>
      <c r="P10" s="3445"/>
      <c r="Q10" s="529" t="str">
        <f t="shared" si="6"/>
        <v>房屋性质</v>
      </c>
      <c r="R10" s="663" t="s">
        <v>14</v>
      </c>
      <c r="S10" s="664">
        <f t="shared" si="0"/>
        <v>100</v>
      </c>
      <c r="T10" s="663" t="s">
        <v>14</v>
      </c>
      <c r="U10" s="664">
        <f t="shared" si="1"/>
        <v>100</v>
      </c>
      <c r="V10" s="663" t="s">
        <v>14</v>
      </c>
      <c r="W10" s="664">
        <f t="shared" si="2"/>
        <v>100</v>
      </c>
      <c r="X10" s="665"/>
      <c r="Y10" s="3309"/>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45"/>
      <c r="Q11" s="529" t="str">
        <f t="shared" si="6"/>
        <v>容积率</v>
      </c>
      <c r="R11" s="663" t="s">
        <v>18</v>
      </c>
      <c r="S11" s="664">
        <f t="shared" si="0"/>
        <v>100</v>
      </c>
      <c r="T11" s="663" t="s">
        <v>18</v>
      </c>
      <c r="U11" s="664">
        <f t="shared" si="1"/>
        <v>100</v>
      </c>
      <c r="V11" s="663" t="s">
        <v>18</v>
      </c>
      <c r="W11" s="664">
        <f t="shared" si="2"/>
        <v>100</v>
      </c>
      <c r="X11" s="665"/>
      <c r="Y11" s="3309"/>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45"/>
      <c r="Q12" s="529">
        <f t="shared" si="6"/>
        <v>111</v>
      </c>
      <c r="R12" s="663" t="s">
        <v>18</v>
      </c>
      <c r="S12" s="664">
        <f t="shared" si="0"/>
        <v>100</v>
      </c>
      <c r="T12" s="663" t="s">
        <v>18</v>
      </c>
      <c r="U12" s="664">
        <f t="shared" si="1"/>
        <v>100</v>
      </c>
      <c r="V12" s="663" t="s">
        <v>18</v>
      </c>
      <c r="W12" s="664">
        <f t="shared" si="2"/>
        <v>100</v>
      </c>
      <c r="X12" s="665"/>
      <c r="Y12" s="3309"/>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45"/>
      <c r="Q13" s="529">
        <f t="shared" si="6"/>
        <v>111</v>
      </c>
      <c r="R13" s="663" t="s">
        <v>18</v>
      </c>
      <c r="S13" s="664">
        <f t="shared" si="0"/>
        <v>100</v>
      </c>
      <c r="T13" s="663" t="s">
        <v>18</v>
      </c>
      <c r="U13" s="664">
        <f t="shared" si="1"/>
        <v>100</v>
      </c>
      <c r="V13" s="663" t="s">
        <v>18</v>
      </c>
      <c r="W13" s="664">
        <f t="shared" si="2"/>
        <v>100</v>
      </c>
      <c r="X13" s="665"/>
      <c r="Y13" s="3309"/>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45"/>
      <c r="Q14" s="529">
        <f t="shared" si="6"/>
        <v>111</v>
      </c>
      <c r="R14" s="663" t="s">
        <v>18</v>
      </c>
      <c r="S14" s="664">
        <f t="shared" si="0"/>
        <v>100</v>
      </c>
      <c r="T14" s="663" t="s">
        <v>18</v>
      </c>
      <c r="U14" s="664">
        <f t="shared" si="1"/>
        <v>100</v>
      </c>
      <c r="V14" s="663" t="s">
        <v>18</v>
      </c>
      <c r="W14" s="664">
        <f t="shared" si="2"/>
        <v>100</v>
      </c>
      <c r="X14" s="665"/>
      <c r="Y14" s="3309"/>
      <c r="Z14" s="50">
        <f t="shared" si="7"/>
        <v>111</v>
      </c>
      <c r="AA14" s="50">
        <f t="shared" si="3"/>
        <v>1</v>
      </c>
      <c r="AB14" s="50">
        <f t="shared" si="4"/>
        <v>1</v>
      </c>
      <c r="AC14" s="50">
        <f t="shared" si="5"/>
        <v>1</v>
      </c>
    </row>
    <row r="15" spans="1:29" ht="41.25" customHeight="1">
      <c r="A15" s="378" t="s">
        <v>1690</v>
      </c>
      <c r="B15" s="58" t="s">
        <v>1257</v>
      </c>
      <c r="C15" s="1747" t="str">
        <f>估价对象房地状况!C3</f>
        <v>周边有太阳城、远洋傲北、冠华苑、冠雅苑等住宅小区，居住社区成熟度较好。</v>
      </c>
      <c r="D15" s="379">
        <v>100</v>
      </c>
      <c r="E15" s="3155" t="s">
        <v>3478</v>
      </c>
      <c r="F15" s="379">
        <f>SUMIF(76:76,E16,77:77)-SUMIF(76:76,C16,77:77)+100</f>
        <v>100</v>
      </c>
      <c r="G15" s="3155" t="s">
        <v>3479</v>
      </c>
      <c r="H15" s="379">
        <f>SUMIF(76:76,G16,77:77)-SUMIF(76:76,C16,77:77)+100</f>
        <v>100</v>
      </c>
      <c r="I15" s="3155" t="s">
        <v>3484</v>
      </c>
      <c r="J15" s="379">
        <f>SUMIF(76:76,I16,77:77)-SUMIF(76:76,C16,77:77)+100</f>
        <v>100</v>
      </c>
      <c r="K15" s="383"/>
      <c r="L15" s="2487"/>
      <c r="M15" s="2482"/>
      <c r="N15" s="2482"/>
      <c r="O15" s="2482"/>
      <c r="P15" s="3443" t="s">
        <v>1691</v>
      </c>
      <c r="Q15" s="1261" t="str">
        <f t="shared" si="6"/>
        <v>居住社区成熟度</v>
      </c>
      <c r="R15" s="666" t="s">
        <v>18</v>
      </c>
      <c r="S15" s="667">
        <f t="shared" si="0"/>
        <v>100</v>
      </c>
      <c r="T15" s="666" t="s">
        <v>18</v>
      </c>
      <c r="U15" s="667">
        <f t="shared" si="1"/>
        <v>100</v>
      </c>
      <c r="V15" s="666" t="s">
        <v>18</v>
      </c>
      <c r="W15" s="667">
        <f t="shared" si="2"/>
        <v>100</v>
      </c>
      <c r="X15" s="1263"/>
      <c r="Y15" s="3436" t="s">
        <v>1691</v>
      </c>
      <c r="Z15" s="1262" t="str">
        <f t="shared" si="7"/>
        <v>居住社区成熟度</v>
      </c>
      <c r="AA15" s="1262">
        <f t="shared" si="3"/>
        <v>1</v>
      </c>
      <c r="AB15" s="1262">
        <f t="shared" si="4"/>
        <v>1</v>
      </c>
      <c r="AC15" s="1262">
        <f t="shared" si="5"/>
        <v>1</v>
      </c>
    </row>
    <row r="16" spans="1:29" ht="15">
      <c r="A16" s="366"/>
      <c r="B16" s="384"/>
      <c r="C16" s="385" t="s">
        <v>3395</v>
      </c>
      <c r="D16" s="386"/>
      <c r="E16" s="385" t="s">
        <v>3395</v>
      </c>
      <c r="F16" s="386"/>
      <c r="G16" s="385" t="s">
        <v>3395</v>
      </c>
      <c r="H16" s="388"/>
      <c r="I16" s="385" t="s">
        <v>3395</v>
      </c>
      <c r="J16" s="386"/>
      <c r="K16" s="1750"/>
      <c r="L16" s="2487"/>
      <c r="M16" s="2482"/>
      <c r="N16" s="2482"/>
      <c r="O16" s="2482"/>
      <c r="P16" s="3444"/>
      <c r="Q16" s="1261"/>
      <c r="R16" s="666"/>
      <c r="S16" s="667"/>
      <c r="T16" s="666"/>
      <c r="U16" s="667"/>
      <c r="V16" s="666"/>
      <c r="W16" s="667"/>
      <c r="X16" s="1263"/>
      <c r="Y16" s="3437"/>
      <c r="Z16" s="1262"/>
      <c r="AA16" s="1262">
        <v>1</v>
      </c>
      <c r="AB16" s="1262">
        <v>1</v>
      </c>
      <c r="AC16" s="1262">
        <v>1</v>
      </c>
    </row>
    <row r="17" spans="1:29" ht="88.5" customHeight="1">
      <c r="A17" s="366"/>
      <c r="B17" s="389" t="s">
        <v>1259</v>
      </c>
      <c r="C17" s="1751" t="str">
        <f>估价对象房地状况!C6</f>
        <v>周边有537路、643路、905路等多条公交线路，紧邻城市支路——爱博路，综合评价交通便捷度一般</v>
      </c>
      <c r="D17" s="388">
        <v>100</v>
      </c>
      <c r="E17" s="3166" t="str">
        <f>C17</f>
        <v>周边有537路、643路、905路等多条公交线路，紧邻城市支路——爱博路，综合评价交通便捷度一般</v>
      </c>
      <c r="F17" s="388">
        <f>SUMIF(78:78,E18,79:79)-SUMIF(78:78,C18,79:79)+100</f>
        <v>100</v>
      </c>
      <c r="G17" s="3167" t="s">
        <v>3603</v>
      </c>
      <c r="H17" s="3560">
        <f>SUMIF(78:78,G18,79:79)-SUMIF(78:78,C18,79:79)+100</f>
        <v>100.5</v>
      </c>
      <c r="I17" s="3167" t="s">
        <v>3604</v>
      </c>
      <c r="J17" s="393">
        <f>SUMIF(78:78,I18,79:79)-SUMIF(78:78,C18,79:79)+100</f>
        <v>100</v>
      </c>
      <c r="K17" s="383">
        <v>0.5</v>
      </c>
      <c r="L17" s="2487"/>
      <c r="M17" s="2482"/>
      <c r="N17" s="2482"/>
      <c r="O17" s="2482"/>
      <c r="P17" s="3444"/>
      <c r="Q17" s="1261" t="str">
        <f>B17</f>
        <v>交通便捷度</v>
      </c>
      <c r="R17" s="666" t="s">
        <v>18</v>
      </c>
      <c r="S17" s="667">
        <f>F17</f>
        <v>100</v>
      </c>
      <c r="T17" s="666" t="s">
        <v>18</v>
      </c>
      <c r="U17" s="667">
        <f>H17</f>
        <v>100.5</v>
      </c>
      <c r="V17" s="666" t="s">
        <v>18</v>
      </c>
      <c r="W17" s="667">
        <f>J17</f>
        <v>100</v>
      </c>
      <c r="X17" s="1263"/>
      <c r="Y17" s="3437"/>
      <c r="Z17" s="1262" t="str">
        <f>Q17</f>
        <v>交通便捷度</v>
      </c>
      <c r="AA17" s="1262">
        <f t="shared" si="3"/>
        <v>1</v>
      </c>
      <c r="AB17" s="1262">
        <f t="shared" si="4"/>
        <v>0.99502487562189057</v>
      </c>
      <c r="AC17" s="1262">
        <f t="shared" si="5"/>
        <v>1</v>
      </c>
    </row>
    <row r="18" spans="1:29" ht="15">
      <c r="A18" s="366"/>
      <c r="B18" s="394"/>
      <c r="C18" s="3216" t="s">
        <v>3396</v>
      </c>
      <c r="D18" s="388"/>
      <c r="E18" s="3216" t="s">
        <v>3396</v>
      </c>
      <c r="F18" s="388"/>
      <c r="G18" s="3217" t="s">
        <v>3395</v>
      </c>
      <c r="H18" s="386"/>
      <c r="I18" s="3216" t="s">
        <v>3396</v>
      </c>
      <c r="J18" s="386"/>
      <c r="K18" s="1750"/>
      <c r="L18" s="2487"/>
      <c r="M18" s="2482"/>
      <c r="N18" s="2482"/>
      <c r="O18" s="2482"/>
      <c r="P18" s="3444"/>
      <c r="Q18" s="1261"/>
      <c r="R18" s="666"/>
      <c r="S18" s="667"/>
      <c r="T18" s="666"/>
      <c r="U18" s="667"/>
      <c r="V18" s="666"/>
      <c r="W18" s="667"/>
      <c r="X18" s="1263"/>
      <c r="Y18" s="3437"/>
      <c r="Z18" s="1262"/>
      <c r="AA18" s="1262">
        <v>1</v>
      </c>
      <c r="AB18" s="1262">
        <v>1</v>
      </c>
      <c r="AC18" s="1262">
        <v>1</v>
      </c>
    </row>
    <row r="19" spans="1:29" ht="299.25" customHeight="1">
      <c r="A19" s="366"/>
      <c r="B19" s="389" t="s">
        <v>1258</v>
      </c>
      <c r="C19" s="1751"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168" t="s">
        <v>3460</v>
      </c>
      <c r="F19" s="393">
        <f>SUMIF(80:80,E20,81:81)-SUMIF(80:80,C20,81:81)+100</f>
        <v>100</v>
      </c>
      <c r="G19" s="3168" t="s">
        <v>3483</v>
      </c>
      <c r="H19" s="3561">
        <f>SUMIF(80:80,G20,81:81)-SUMIF(80:80,C20,81:81)+100</f>
        <v>103</v>
      </c>
      <c r="I19" s="3168" t="s">
        <v>3485</v>
      </c>
      <c r="J19" s="3561">
        <f>SUMIF(80:80,I20,81:81)-SUMIF(80:80,C20,81:81)+100</f>
        <v>103</v>
      </c>
      <c r="K19" s="383">
        <v>3</v>
      </c>
      <c r="L19" s="2487"/>
      <c r="M19" s="2482"/>
      <c r="N19" s="2482"/>
      <c r="O19" s="2482"/>
      <c r="P19" s="3444"/>
      <c r="Q19" s="1261" t="str">
        <f>B19</f>
        <v>公共配套设施</v>
      </c>
      <c r="R19" s="666" t="s">
        <v>18</v>
      </c>
      <c r="S19" s="667">
        <f>F19</f>
        <v>100</v>
      </c>
      <c r="T19" s="666" t="s">
        <v>18</v>
      </c>
      <c r="U19" s="667">
        <f>H19</f>
        <v>103</v>
      </c>
      <c r="V19" s="666" t="s">
        <v>18</v>
      </c>
      <c r="W19" s="667">
        <f>J19</f>
        <v>103</v>
      </c>
      <c r="X19" s="1263"/>
      <c r="Y19" s="3437"/>
      <c r="Z19" s="1262" t="str">
        <f>Q19</f>
        <v>公共配套设施</v>
      </c>
      <c r="AA19" s="1262">
        <f t="shared" si="3"/>
        <v>1</v>
      </c>
      <c r="AB19" s="1262">
        <f t="shared" si="4"/>
        <v>0.970873786407767</v>
      </c>
      <c r="AC19" s="1262">
        <f t="shared" si="5"/>
        <v>0.970873786407767</v>
      </c>
    </row>
    <row r="20" spans="1:29" ht="15">
      <c r="A20" s="366"/>
      <c r="B20" s="394"/>
      <c r="C20" s="385" t="s">
        <v>3396</v>
      </c>
      <c r="D20" s="386"/>
      <c r="E20" s="385" t="s">
        <v>3396</v>
      </c>
      <c r="F20" s="386"/>
      <c r="G20" s="385" t="s">
        <v>3395</v>
      </c>
      <c r="H20" s="386"/>
      <c r="I20" s="385" t="s">
        <v>3395</v>
      </c>
      <c r="J20" s="386"/>
      <c r="K20" s="1750"/>
      <c r="L20" s="2487"/>
      <c r="M20" s="2482"/>
      <c r="N20" s="2482"/>
      <c r="O20" s="2482"/>
      <c r="P20" s="3444"/>
      <c r="Q20" s="1261"/>
      <c r="R20" s="666"/>
      <c r="S20" s="667"/>
      <c r="T20" s="666"/>
      <c r="U20" s="667"/>
      <c r="V20" s="666"/>
      <c r="W20" s="667"/>
      <c r="X20" s="1263"/>
      <c r="Y20" s="3437"/>
      <c r="Z20" s="1262"/>
      <c r="AA20" s="1262">
        <v>1</v>
      </c>
      <c r="AB20" s="1262">
        <v>1</v>
      </c>
      <c r="AC20" s="1262">
        <v>1</v>
      </c>
    </row>
    <row r="21" spans="1:29" ht="28.5">
      <c r="A21" s="366"/>
      <c r="B21" s="585" t="s">
        <v>1260</v>
      </c>
      <c r="C21" s="1751" t="str">
        <f>估价对象房地状况!C8</f>
        <v>估价对象所在区域基础设施水平</v>
      </c>
      <c r="D21" s="388">
        <v>100</v>
      </c>
      <c r="E21" s="3156"/>
      <c r="F21" s="393">
        <f>SUMIF(82:82,E22,83:83)-SUMIF(82:82,C22,83:83)+100</f>
        <v>100</v>
      </c>
      <c r="G21" s="395"/>
      <c r="H21" s="388">
        <f>SUMIF(82:82,G22,83:83)-SUMIF(82:82,C22,83:83)+100</f>
        <v>100</v>
      </c>
      <c r="I21" s="395"/>
      <c r="J21" s="388">
        <f>SUMIF(82:82,I22,83:83)-SUMIF(82:82,C22,83:83)+100</f>
        <v>100</v>
      </c>
      <c r="K21" s="383"/>
      <c r="L21" s="2487"/>
      <c r="M21" s="2482"/>
      <c r="N21" s="2482"/>
      <c r="O21" s="2482"/>
      <c r="P21" s="3444"/>
      <c r="Q21" s="1261" t="str">
        <f>B21</f>
        <v>基础设施水平</v>
      </c>
      <c r="R21" s="666" t="s">
        <v>14</v>
      </c>
      <c r="S21" s="667">
        <f>F21</f>
        <v>100</v>
      </c>
      <c r="T21" s="666" t="s">
        <v>14</v>
      </c>
      <c r="U21" s="667">
        <f>H21</f>
        <v>100</v>
      </c>
      <c r="V21" s="666" t="s">
        <v>14</v>
      </c>
      <c r="W21" s="667">
        <f>J21</f>
        <v>100</v>
      </c>
      <c r="X21" s="1263"/>
      <c r="Y21" s="3437"/>
      <c r="Z21" s="1262" t="str">
        <f>Q21</f>
        <v>基础设施水平</v>
      </c>
      <c r="AA21" s="1262">
        <f>D21/F21</f>
        <v>1</v>
      </c>
      <c r="AB21" s="1262">
        <f>D21/H21</f>
        <v>1</v>
      </c>
      <c r="AC21" s="1262">
        <f>D21/J21</f>
        <v>1</v>
      </c>
    </row>
    <row r="22" spans="1:29" ht="15">
      <c r="A22" s="366"/>
      <c r="B22" s="585"/>
      <c r="C22" s="1752" t="s">
        <v>3400</v>
      </c>
      <c r="D22" s="386"/>
      <c r="E22" s="3162" t="s">
        <v>3400</v>
      </c>
      <c r="F22" s="386"/>
      <c r="G22" s="1752" t="s">
        <v>3400</v>
      </c>
      <c r="H22" s="386"/>
      <c r="I22" s="1752" t="s">
        <v>3400</v>
      </c>
      <c r="J22" s="386"/>
      <c r="K22" s="1756"/>
      <c r="L22" s="2487"/>
      <c r="M22" s="2482"/>
      <c r="N22" s="2482"/>
      <c r="O22" s="2482"/>
      <c r="P22" s="3444"/>
      <c r="Q22" s="1261"/>
      <c r="R22" s="666"/>
      <c r="S22" s="667"/>
      <c r="T22" s="666"/>
      <c r="U22" s="667"/>
      <c r="V22" s="666"/>
      <c r="W22" s="667"/>
      <c r="X22" s="1263"/>
      <c r="Y22" s="3437"/>
      <c r="Z22" s="1262"/>
      <c r="AA22" s="1262">
        <v>1</v>
      </c>
      <c r="AB22" s="1262">
        <v>1</v>
      </c>
      <c r="AC22" s="1262">
        <v>1</v>
      </c>
    </row>
    <row r="23" spans="1:29" ht="128.25" customHeight="1">
      <c r="A23" s="366"/>
      <c r="B23" s="389" t="s">
        <v>1261</v>
      </c>
      <c r="C23" s="1751" t="str">
        <f>估价对象房地状况!C9</f>
        <v>自然环境：温榆河水系等自然及人文景观；
综合评价环境状况较好。</v>
      </c>
      <c r="D23" s="388">
        <v>100</v>
      </c>
      <c r="E23" s="3167" t="s">
        <v>3481</v>
      </c>
      <c r="F23" s="388">
        <f>SUMIF(84:84,E24,85:85)-SUMIF(84:84,C24,85:85)+100</f>
        <v>100</v>
      </c>
      <c r="G23" s="3167" t="s">
        <v>3482</v>
      </c>
      <c r="H23" s="388">
        <f>SUMIF(84:84,G24,85:85)-SUMIF(84:84,C24,85:85)+100</f>
        <v>100</v>
      </c>
      <c r="I23" s="3167" t="s">
        <v>3486</v>
      </c>
      <c r="J23" s="388">
        <f>SUMIF(84:84,I24,85:85)-SUMIF(84:84,C24,85:85)+100</f>
        <v>100</v>
      </c>
      <c r="K23" s="383"/>
      <c r="L23" s="2487"/>
      <c r="M23" s="2482"/>
      <c r="N23" s="2482"/>
      <c r="O23" s="2482"/>
      <c r="P23" s="3444"/>
      <c r="Q23" s="1261" t="str">
        <f>B23</f>
        <v>自然及人文环境</v>
      </c>
      <c r="R23" s="666" t="s">
        <v>18</v>
      </c>
      <c r="S23" s="667">
        <f>F23</f>
        <v>100</v>
      </c>
      <c r="T23" s="666" t="s">
        <v>18</v>
      </c>
      <c r="U23" s="667">
        <f>H23</f>
        <v>100</v>
      </c>
      <c r="V23" s="666" t="s">
        <v>18</v>
      </c>
      <c r="W23" s="667">
        <f>J23</f>
        <v>100</v>
      </c>
      <c r="X23" s="1263"/>
      <c r="Y23" s="3437"/>
      <c r="Z23" s="1262" t="str">
        <f>Q23</f>
        <v>自然及人文环境</v>
      </c>
      <c r="AA23" s="1262">
        <f>D23/F23</f>
        <v>1</v>
      </c>
      <c r="AB23" s="1262">
        <f>D23/H23</f>
        <v>1</v>
      </c>
      <c r="AC23" s="1262">
        <f>D23/J23</f>
        <v>1</v>
      </c>
    </row>
    <row r="24" spans="1:29" ht="15">
      <c r="A24" s="366"/>
      <c r="B24" s="394"/>
      <c r="C24" s="385" t="s">
        <v>3395</v>
      </c>
      <c r="D24" s="386"/>
      <c r="E24" s="385" t="s">
        <v>3395</v>
      </c>
      <c r="F24" s="386"/>
      <c r="G24" s="385" t="s">
        <v>3395</v>
      </c>
      <c r="H24" s="386"/>
      <c r="I24" s="385" t="s">
        <v>3395</v>
      </c>
      <c r="J24" s="386"/>
      <c r="K24" s="1750"/>
      <c r="L24" s="2487"/>
      <c r="M24" s="2482"/>
      <c r="N24" s="2482"/>
      <c r="O24" s="2482"/>
      <c r="P24" s="3444"/>
      <c r="Q24" s="1261"/>
      <c r="R24" s="666"/>
      <c r="S24" s="667"/>
      <c r="T24" s="666"/>
      <c r="U24" s="667"/>
      <c r="V24" s="666"/>
      <c r="W24" s="667"/>
      <c r="X24" s="1263"/>
      <c r="Y24" s="3437"/>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44"/>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37"/>
      <c r="Z25" s="1262" t="str">
        <f>Q25</f>
        <v>楼层-1</v>
      </c>
      <c r="AA25" s="1262">
        <f t="shared" ref="AA25:AA46" si="12">D25/F25</f>
        <v>1</v>
      </c>
      <c r="AB25" s="1262">
        <f t="shared" ref="AB25:AB46" si="13">D25/H25</f>
        <v>1</v>
      </c>
      <c r="AC25" s="1262">
        <f t="shared" ref="AC25:AC46" si="14">D25/J25</f>
        <v>1</v>
      </c>
    </row>
    <row r="26" spans="1:29" ht="15">
      <c r="A26" s="366"/>
      <c r="B26" s="363" t="s">
        <v>1693</v>
      </c>
      <c r="C26" s="398" t="s">
        <v>3448</v>
      </c>
      <c r="D26" s="373">
        <v>100</v>
      </c>
      <c r="E26" s="1757" t="s">
        <v>3448</v>
      </c>
      <c r="F26" s="373">
        <f>SUMIF(88:88,E26,89:89)-SUMIF(88:88,C26,89:89)+100</f>
        <v>100</v>
      </c>
      <c r="G26" s="1757" t="s">
        <v>3448</v>
      </c>
      <c r="H26" s="373">
        <f>SUMIF(88:88,G26,89:89)-SUMIF(88:88,C26,89:89)+100</f>
        <v>100</v>
      </c>
      <c r="I26" s="1758" t="s">
        <v>3448</v>
      </c>
      <c r="J26" s="373">
        <f>SUMIF(88:88,I26,89:89)-SUMIF(88:88,C26,89:89)+100</f>
        <v>100</v>
      </c>
      <c r="K26" s="364">
        <v>1</v>
      </c>
      <c r="L26" s="2487"/>
      <c r="M26" s="2482"/>
      <c r="N26" s="2482"/>
      <c r="O26" s="2482"/>
      <c r="P26" s="3444"/>
      <c r="Q26" s="1261" t="str">
        <f t="shared" si="8"/>
        <v>朝向</v>
      </c>
      <c r="R26" s="666" t="s">
        <v>18</v>
      </c>
      <c r="S26" s="667">
        <f t="shared" si="9"/>
        <v>100</v>
      </c>
      <c r="T26" s="666" t="s">
        <v>18</v>
      </c>
      <c r="U26" s="667">
        <f t="shared" si="10"/>
        <v>100</v>
      </c>
      <c r="V26" s="666" t="s">
        <v>18</v>
      </c>
      <c r="W26" s="667">
        <f t="shared" si="11"/>
        <v>100</v>
      </c>
      <c r="X26" s="1263"/>
      <c r="Y26" s="3437"/>
      <c r="Z26" s="1262" t="str">
        <f>Q26</f>
        <v>朝向</v>
      </c>
      <c r="AA26" s="1262">
        <f t="shared" si="12"/>
        <v>1</v>
      </c>
      <c r="AB26" s="1262">
        <f t="shared" si="13"/>
        <v>1</v>
      </c>
      <c r="AC26" s="1262">
        <f t="shared" si="14"/>
        <v>1</v>
      </c>
    </row>
    <row r="27" spans="1:29" s="101" customFormat="1" ht="15">
      <c r="A27" s="369"/>
      <c r="B27" s="3140" t="s">
        <v>3381</v>
      </c>
      <c r="C27" s="370" t="s">
        <v>3461</v>
      </c>
      <c r="D27" s="400">
        <v>100</v>
      </c>
      <c r="E27" s="3169" t="s">
        <v>3446</v>
      </c>
      <c r="F27" s="400">
        <f>E91</f>
        <v>100</v>
      </c>
      <c r="G27" s="3169" t="s">
        <v>3446</v>
      </c>
      <c r="H27" s="400">
        <f>F27</f>
        <v>100</v>
      </c>
      <c r="I27" s="3169" t="s">
        <v>3446</v>
      </c>
      <c r="J27" s="400">
        <f>E91</f>
        <v>100</v>
      </c>
      <c r="K27" s="1745"/>
      <c r="L27" s="2483"/>
      <c r="M27" s="2434"/>
      <c r="N27" s="2434"/>
      <c r="O27" s="2434"/>
      <c r="P27" s="3444"/>
      <c r="Q27" s="529" t="str">
        <f t="shared" si="8"/>
        <v>楼层</v>
      </c>
      <c r="R27" s="663" t="s">
        <v>18</v>
      </c>
      <c r="S27" s="664">
        <f t="shared" si="9"/>
        <v>100</v>
      </c>
      <c r="T27" s="663" t="s">
        <v>18</v>
      </c>
      <c r="U27" s="664">
        <f t="shared" si="10"/>
        <v>100</v>
      </c>
      <c r="V27" s="663" t="s">
        <v>18</v>
      </c>
      <c r="W27" s="664">
        <f t="shared" si="11"/>
        <v>100</v>
      </c>
      <c r="X27" s="665"/>
      <c r="Y27" s="3437"/>
      <c r="Z27" s="50" t="str">
        <f>Q27</f>
        <v>楼层</v>
      </c>
      <c r="AA27" s="1262">
        <f t="shared" si="12"/>
        <v>1</v>
      </c>
      <c r="AB27" s="1262">
        <f t="shared" si="13"/>
        <v>1</v>
      </c>
      <c r="AC27" s="1262">
        <f t="shared" si="14"/>
        <v>1</v>
      </c>
    </row>
    <row r="28" spans="1:29" ht="15" hidden="1">
      <c r="A28" s="366"/>
      <c r="B28" s="3140" t="s">
        <v>3420</v>
      </c>
      <c r="C28" s="3142" t="s">
        <v>3423</v>
      </c>
      <c r="D28" s="373">
        <v>100</v>
      </c>
      <c r="E28" s="3142" t="s">
        <v>3423</v>
      </c>
      <c r="F28" s="373">
        <f>SUMIF(92:92,E28,93:93)-SUMIF(92:92,C28,93:93)+100</f>
        <v>100</v>
      </c>
      <c r="G28" s="3142" t="s">
        <v>3423</v>
      </c>
      <c r="H28" s="373">
        <f>SUMIF(92:92,G28,93:93)-SUMIF(92:92,C28,93:93)+100</f>
        <v>100</v>
      </c>
      <c r="I28" s="3142" t="s">
        <v>3423</v>
      </c>
      <c r="J28" s="373">
        <f>SUMIF(92:92,I28,93:93)-SUMIF(92:92,C28,93:93)+100</f>
        <v>100</v>
      </c>
      <c r="K28" s="1745"/>
      <c r="L28" s="2487"/>
      <c r="M28" s="2482"/>
      <c r="N28" s="2482"/>
      <c r="O28" s="2482"/>
      <c r="P28" s="3444"/>
      <c r="Q28" s="1261" t="str">
        <f t="shared" si="8"/>
        <v>道路级别</v>
      </c>
      <c r="R28" s="666" t="s">
        <v>18</v>
      </c>
      <c r="S28" s="667">
        <f t="shared" si="9"/>
        <v>100</v>
      </c>
      <c r="T28" s="666" t="s">
        <v>18</v>
      </c>
      <c r="U28" s="667">
        <f t="shared" si="10"/>
        <v>100</v>
      </c>
      <c r="V28" s="666" t="s">
        <v>18</v>
      </c>
      <c r="W28" s="667">
        <f t="shared" si="11"/>
        <v>100</v>
      </c>
      <c r="X28" s="1263"/>
      <c r="Y28" s="3437"/>
      <c r="Z28" s="1262" t="str">
        <f t="shared" ref="Z28:Z46" si="15">Q28</f>
        <v>道路级别</v>
      </c>
      <c r="AA28" s="1262">
        <f t="shared" si="12"/>
        <v>1</v>
      </c>
      <c r="AB28" s="1262">
        <f t="shared" si="13"/>
        <v>1</v>
      </c>
      <c r="AC28" s="1262">
        <f t="shared" si="14"/>
        <v>1</v>
      </c>
    </row>
    <row r="29" spans="1:29" ht="15">
      <c r="A29" s="366"/>
      <c r="B29" s="1065">
        <v>111</v>
      </c>
      <c r="C29" s="3169"/>
      <c r="D29" s="373">
        <v>100</v>
      </c>
      <c r="E29" s="3169"/>
      <c r="F29" s="373">
        <f>SUMIF(94:94,E29,95:95)-SUMIF(94:94,C29,95:95)+100</f>
        <v>100</v>
      </c>
      <c r="G29" s="3169"/>
      <c r="H29" s="373">
        <f>SUMIF(94:94,G29,95:95)-SUMIF(94:94,C29,95:95)+100</f>
        <v>100</v>
      </c>
      <c r="I29" s="3169"/>
      <c r="J29" s="373">
        <f>SUMIF(94:94,I29,95:95)-SUMIF(94:94,C29,95:95)+100</f>
        <v>100</v>
      </c>
      <c r="K29" s="1745"/>
      <c r="L29" s="2487"/>
      <c r="M29" s="2482"/>
      <c r="N29" s="2482"/>
      <c r="O29" s="2482"/>
      <c r="P29" s="3444"/>
      <c r="Q29" s="1261">
        <f t="shared" si="8"/>
        <v>111</v>
      </c>
      <c r="R29" s="666" t="s">
        <v>18</v>
      </c>
      <c r="S29" s="667">
        <f t="shared" si="9"/>
        <v>100</v>
      </c>
      <c r="T29" s="666" t="s">
        <v>18</v>
      </c>
      <c r="U29" s="667">
        <f t="shared" si="10"/>
        <v>100</v>
      </c>
      <c r="V29" s="666" t="s">
        <v>18</v>
      </c>
      <c r="W29" s="667">
        <f t="shared" si="11"/>
        <v>100</v>
      </c>
      <c r="X29" s="1263"/>
      <c r="Y29" s="3437"/>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44"/>
      <c r="Q30" s="1261">
        <f t="shared" si="8"/>
        <v>111</v>
      </c>
      <c r="R30" s="666" t="s">
        <v>18</v>
      </c>
      <c r="S30" s="667">
        <f t="shared" si="9"/>
        <v>100</v>
      </c>
      <c r="T30" s="666" t="s">
        <v>18</v>
      </c>
      <c r="U30" s="667">
        <f t="shared" si="10"/>
        <v>100</v>
      </c>
      <c r="V30" s="666" t="s">
        <v>18</v>
      </c>
      <c r="W30" s="667">
        <f t="shared" si="11"/>
        <v>100</v>
      </c>
      <c r="X30" s="1263"/>
      <c r="Y30" s="3437"/>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44"/>
      <c r="Q31" s="1261">
        <f t="shared" si="8"/>
        <v>111</v>
      </c>
      <c r="R31" s="666" t="s">
        <v>18</v>
      </c>
      <c r="S31" s="667">
        <f t="shared" si="9"/>
        <v>100</v>
      </c>
      <c r="T31" s="666" t="s">
        <v>18</v>
      </c>
      <c r="U31" s="667">
        <f t="shared" si="10"/>
        <v>100</v>
      </c>
      <c r="V31" s="666" t="s">
        <v>18</v>
      </c>
      <c r="W31" s="667">
        <f t="shared" si="11"/>
        <v>100</v>
      </c>
      <c r="X31" s="1263"/>
      <c r="Y31" s="3437"/>
      <c r="Z31" s="1262">
        <f t="shared" si="15"/>
        <v>111</v>
      </c>
      <c r="AA31" s="1262">
        <f t="shared" si="12"/>
        <v>1</v>
      </c>
      <c r="AB31" s="1262">
        <f t="shared" si="13"/>
        <v>1</v>
      </c>
      <c r="AC31" s="1262">
        <f t="shared" si="14"/>
        <v>1</v>
      </c>
    </row>
    <row r="32" spans="1:29" ht="15.75" thickBot="1">
      <c r="A32" s="378" t="s">
        <v>1694</v>
      </c>
      <c r="B32" s="363" t="s">
        <v>1695</v>
      </c>
      <c r="C32" s="3187" t="s">
        <v>3466</v>
      </c>
      <c r="D32" s="404">
        <v>100</v>
      </c>
      <c r="E32" s="3187" t="s">
        <v>3466</v>
      </c>
      <c r="F32" s="399">
        <f>SUMIF(100:100,E32,101:101)-SUMIF(100:100,C32,101:101)+100</f>
        <v>100</v>
      </c>
      <c r="G32" s="3187" t="s">
        <v>3489</v>
      </c>
      <c r="H32" s="3562">
        <f>SUMIF(100:100,G32,101:101)-SUMIF(100:100,C32,101:101)+100</f>
        <v>98</v>
      </c>
      <c r="I32" s="3187" t="s">
        <v>3466</v>
      </c>
      <c r="J32" s="373">
        <f>SUMIF(100:100,I32,101:101)-SUMIF(100:100,C32,101:101)+100</f>
        <v>100</v>
      </c>
      <c r="K32" s="364">
        <v>2</v>
      </c>
      <c r="L32" s="2487"/>
      <c r="M32" s="2482"/>
      <c r="N32" s="2482"/>
      <c r="O32" s="2482"/>
      <c r="P32" s="3438" t="s">
        <v>1696</v>
      </c>
      <c r="Q32" s="1261" t="str">
        <f t="shared" si="8"/>
        <v>建筑类型</v>
      </c>
      <c r="R32" s="666" t="s">
        <v>18</v>
      </c>
      <c r="S32" s="667">
        <f t="shared" si="9"/>
        <v>100</v>
      </c>
      <c r="T32" s="666" t="s">
        <v>18</v>
      </c>
      <c r="U32" s="667">
        <f t="shared" si="10"/>
        <v>98</v>
      </c>
      <c r="V32" s="666" t="s">
        <v>18</v>
      </c>
      <c r="W32" s="667">
        <f t="shared" si="11"/>
        <v>100</v>
      </c>
      <c r="X32" s="1263"/>
      <c r="Y32" s="3441" t="s">
        <v>1696</v>
      </c>
      <c r="Z32" s="1262" t="str">
        <f t="shared" si="15"/>
        <v>建筑类型</v>
      </c>
      <c r="AA32" s="1262">
        <f t="shared" si="12"/>
        <v>1</v>
      </c>
      <c r="AB32" s="1262">
        <f t="shared" si="13"/>
        <v>1.0204081632653061</v>
      </c>
      <c r="AC32" s="1262">
        <f t="shared" si="14"/>
        <v>1</v>
      </c>
    </row>
    <row r="33" spans="1:29" s="407" customFormat="1" ht="15">
      <c r="A33" s="405"/>
      <c r="B33" s="3170" t="s">
        <v>3467</v>
      </c>
      <c r="C33" s="3188" t="s">
        <v>3468</v>
      </c>
      <c r="D33" s="118">
        <v>100</v>
      </c>
      <c r="E33" s="3187" t="s">
        <v>3491</v>
      </c>
      <c r="F33" s="399">
        <f>F104</f>
        <v>98</v>
      </c>
      <c r="G33" s="3187" t="s">
        <v>3490</v>
      </c>
      <c r="H33" s="404">
        <f>D33</f>
        <v>100</v>
      </c>
      <c r="I33" s="3191" t="s">
        <v>3475</v>
      </c>
      <c r="J33" s="3192">
        <f>G104</f>
        <v>96</v>
      </c>
      <c r="K33" s="1745"/>
      <c r="L33" s="2486"/>
      <c r="M33" s="2488"/>
      <c r="N33" s="2488"/>
      <c r="O33" s="2488"/>
      <c r="P33" s="3439"/>
      <c r="Q33" s="530" t="str">
        <f t="shared" si="8"/>
        <v>主力户型建筑面积</v>
      </c>
      <c r="R33" s="668" t="s">
        <v>18</v>
      </c>
      <c r="S33" s="669">
        <f t="shared" si="9"/>
        <v>98</v>
      </c>
      <c r="T33" s="668" t="s">
        <v>18</v>
      </c>
      <c r="U33" s="669">
        <f t="shared" si="10"/>
        <v>100</v>
      </c>
      <c r="V33" s="668" t="s">
        <v>18</v>
      </c>
      <c r="W33" s="669">
        <f t="shared" si="11"/>
        <v>96</v>
      </c>
      <c r="X33" s="670"/>
      <c r="Y33" s="3441"/>
      <c r="Z33" s="671" t="str">
        <f t="shared" si="15"/>
        <v>主力户型建筑面积</v>
      </c>
      <c r="AA33" s="1262">
        <f t="shared" si="12"/>
        <v>1.0204081632653061</v>
      </c>
      <c r="AB33" s="1262">
        <f t="shared" si="13"/>
        <v>1</v>
      </c>
      <c r="AC33" s="1262">
        <f t="shared" si="14"/>
        <v>1.0416666666666667</v>
      </c>
    </row>
    <row r="34" spans="1:29" ht="15">
      <c r="A34" s="408"/>
      <c r="B34" s="363" t="s">
        <v>1698</v>
      </c>
      <c r="C34" s="3189" t="s">
        <v>3385</v>
      </c>
      <c r="D34" s="373">
        <v>100</v>
      </c>
      <c r="E34" s="3189" t="s">
        <v>3385</v>
      </c>
      <c r="F34" s="399">
        <f>SUMIF(105:105,E34,106:106)-SUMIF(105:105,C34,106:106)+100</f>
        <v>100</v>
      </c>
      <c r="G34" s="3189" t="s">
        <v>3385</v>
      </c>
      <c r="H34" s="373">
        <f>SUMIF(105:105,G34,106:106)-SUMIF(105:105,C34,106:106)+100</f>
        <v>100</v>
      </c>
      <c r="I34" s="3189" t="s">
        <v>3385</v>
      </c>
      <c r="J34" s="373">
        <f>SUMIF(105:105,I34,106:106)-SUMIF(105:105,C34,106:106)+100</f>
        <v>100</v>
      </c>
      <c r="K34" s="364">
        <v>0.5</v>
      </c>
      <c r="L34" s="2487"/>
      <c r="M34" s="2482"/>
      <c r="N34" s="2482"/>
      <c r="O34" s="2482"/>
      <c r="P34" s="3439"/>
      <c r="Q34" s="1261" t="str">
        <f t="shared" si="8"/>
        <v>建筑结构</v>
      </c>
      <c r="R34" s="666" t="s">
        <v>18</v>
      </c>
      <c r="S34" s="667">
        <f t="shared" si="9"/>
        <v>100</v>
      </c>
      <c r="T34" s="666" t="s">
        <v>18</v>
      </c>
      <c r="U34" s="667">
        <f t="shared" si="10"/>
        <v>100</v>
      </c>
      <c r="V34" s="666" t="s">
        <v>18</v>
      </c>
      <c r="W34" s="667">
        <f t="shared" si="11"/>
        <v>100</v>
      </c>
      <c r="X34" s="1263"/>
      <c r="Y34" s="3441"/>
      <c r="Z34" s="1262" t="str">
        <f t="shared" si="15"/>
        <v>建筑结构</v>
      </c>
      <c r="AA34" s="1262">
        <f t="shared" si="12"/>
        <v>1</v>
      </c>
      <c r="AB34" s="1262">
        <f t="shared" si="13"/>
        <v>1</v>
      </c>
      <c r="AC34" s="1262">
        <f t="shared" si="14"/>
        <v>1</v>
      </c>
    </row>
    <row r="35" spans="1:29" ht="15" hidden="1">
      <c r="A35" s="408"/>
      <c r="B35" s="363" t="s">
        <v>3431</v>
      </c>
      <c r="C35" s="3179" t="s">
        <v>3395</v>
      </c>
      <c r="D35" s="373">
        <v>100</v>
      </c>
      <c r="E35" s="3179" t="s">
        <v>3395</v>
      </c>
      <c r="F35" s="399">
        <f>SUMIF(107:107,E35,108:108)-SUMIF(107:107,C35,108:108)+100</f>
        <v>100</v>
      </c>
      <c r="G35" s="3179" t="s">
        <v>3395</v>
      </c>
      <c r="H35" s="373">
        <f>SUMIF(107:107,G35,108:108)-SUMIF(107:107,C35,108:108)+100</f>
        <v>100</v>
      </c>
      <c r="I35" s="3179" t="s">
        <v>3395</v>
      </c>
      <c r="J35" s="373">
        <f>SUMIF(107:107,I35,108:108)-SUMIF(107:107,C35,108:108)+100</f>
        <v>100</v>
      </c>
      <c r="K35" s="364">
        <v>3</v>
      </c>
      <c r="L35" s="2487"/>
      <c r="M35" s="2482"/>
      <c r="N35" s="2482"/>
      <c r="O35" s="2482"/>
      <c r="P35" s="3439"/>
      <c r="Q35" s="1261" t="str">
        <f t="shared" si="8"/>
        <v>噪音污染</v>
      </c>
      <c r="R35" s="666" t="s">
        <v>18</v>
      </c>
      <c r="S35" s="667">
        <f t="shared" si="9"/>
        <v>100</v>
      </c>
      <c r="T35" s="666" t="s">
        <v>18</v>
      </c>
      <c r="U35" s="667">
        <f t="shared" si="10"/>
        <v>100</v>
      </c>
      <c r="V35" s="666" t="s">
        <v>18</v>
      </c>
      <c r="W35" s="667">
        <f t="shared" si="11"/>
        <v>100</v>
      </c>
      <c r="X35" s="1263"/>
      <c r="Y35" s="3441"/>
      <c r="Z35" s="1262" t="str">
        <f t="shared" si="15"/>
        <v>噪音污染</v>
      </c>
      <c r="AA35" s="1262">
        <f t="shared" si="12"/>
        <v>1</v>
      </c>
      <c r="AB35" s="1262">
        <f t="shared" si="13"/>
        <v>1</v>
      </c>
      <c r="AC35" s="1262">
        <f t="shared" si="14"/>
        <v>1</v>
      </c>
    </row>
    <row r="36" spans="1:29" ht="15">
      <c r="A36" s="408"/>
      <c r="B36" s="363" t="s">
        <v>1699</v>
      </c>
      <c r="C36" s="3179" t="s">
        <v>3444</v>
      </c>
      <c r="D36" s="373">
        <v>100</v>
      </c>
      <c r="E36" s="3179" t="s">
        <v>3444</v>
      </c>
      <c r="F36" s="399">
        <f>SUMIF(109:109,E36,110:110)-SUMIF(109:109,C36,110:110)+100</f>
        <v>100</v>
      </c>
      <c r="G36" s="3179" t="s">
        <v>3444</v>
      </c>
      <c r="H36" s="373">
        <f>SUMIF(109:109,G36,110:110)-SUMIF(109:109,C36,110:110)+100</f>
        <v>100</v>
      </c>
      <c r="I36" s="3179" t="s">
        <v>3444</v>
      </c>
      <c r="J36" s="373">
        <f>SUMIF(109:109,I36,110:110)-SUMIF(109:109,C36,110:110)+100</f>
        <v>100</v>
      </c>
      <c r="K36" s="364"/>
      <c r="L36" s="2487"/>
      <c r="M36" s="2482"/>
      <c r="N36" s="2482"/>
      <c r="O36" s="2482"/>
      <c r="P36" s="3439"/>
      <c r="Q36" s="1261" t="str">
        <f t="shared" si="8"/>
        <v>公共部分装修</v>
      </c>
      <c r="R36" s="666" t="s">
        <v>18</v>
      </c>
      <c r="S36" s="667">
        <f t="shared" si="9"/>
        <v>100</v>
      </c>
      <c r="T36" s="666" t="s">
        <v>18</v>
      </c>
      <c r="U36" s="667">
        <f t="shared" si="10"/>
        <v>100</v>
      </c>
      <c r="V36" s="666" t="s">
        <v>18</v>
      </c>
      <c r="W36" s="667">
        <f t="shared" si="11"/>
        <v>100</v>
      </c>
      <c r="X36" s="1263"/>
      <c r="Y36" s="3441"/>
      <c r="Z36" s="1262" t="str">
        <f t="shared" si="15"/>
        <v>公共部分装修</v>
      </c>
      <c r="AA36" s="1262">
        <f t="shared" si="12"/>
        <v>1</v>
      </c>
      <c r="AB36" s="1262">
        <f t="shared" si="13"/>
        <v>1</v>
      </c>
      <c r="AC36" s="1262">
        <f t="shared" si="14"/>
        <v>1</v>
      </c>
    </row>
    <row r="37" spans="1:29" s="101" customFormat="1" ht="15">
      <c r="A37" s="409"/>
      <c r="B37" s="3170" t="s">
        <v>3455</v>
      </c>
      <c r="C37" s="3190">
        <v>0.94</v>
      </c>
      <c r="D37" s="118">
        <v>100</v>
      </c>
      <c r="E37" s="3190">
        <v>0.85</v>
      </c>
      <c r="F37" s="118">
        <f>F113</f>
        <v>99</v>
      </c>
      <c r="G37" s="3190">
        <v>0.84</v>
      </c>
      <c r="H37" s="118">
        <f>F37</f>
        <v>99</v>
      </c>
      <c r="I37" s="3190">
        <v>0.77</v>
      </c>
      <c r="J37" s="118">
        <f>E113</f>
        <v>98</v>
      </c>
      <c r="K37" s="364">
        <v>1</v>
      </c>
      <c r="L37" s="2483"/>
      <c r="M37" s="2434"/>
      <c r="N37" s="2434"/>
      <c r="O37" s="2434"/>
      <c r="P37" s="3439"/>
      <c r="Q37" s="529" t="str">
        <f t="shared" si="8"/>
        <v>成新度</v>
      </c>
      <c r="R37" s="663" t="s">
        <v>18</v>
      </c>
      <c r="S37" s="664">
        <f t="shared" si="9"/>
        <v>99</v>
      </c>
      <c r="T37" s="663" t="s">
        <v>18</v>
      </c>
      <c r="U37" s="664">
        <f t="shared" si="10"/>
        <v>99</v>
      </c>
      <c r="V37" s="663" t="s">
        <v>18</v>
      </c>
      <c r="W37" s="664">
        <f t="shared" si="11"/>
        <v>98</v>
      </c>
      <c r="X37" s="665"/>
      <c r="Y37" s="3441"/>
      <c r="Z37" s="50" t="str">
        <f t="shared" si="15"/>
        <v>成新度</v>
      </c>
      <c r="AA37" s="50">
        <f t="shared" si="12"/>
        <v>1.0101010101010102</v>
      </c>
      <c r="AB37" s="50">
        <f t="shared" si="13"/>
        <v>1.0101010101010102</v>
      </c>
      <c r="AC37" s="50">
        <f t="shared" si="14"/>
        <v>1.0204081632653061</v>
      </c>
    </row>
    <row r="38" spans="1:29" ht="15">
      <c r="A38" s="408"/>
      <c r="B38" s="363" t="s">
        <v>1700</v>
      </c>
      <c r="C38" s="3179" t="s">
        <v>3433</v>
      </c>
      <c r="D38" s="373">
        <v>100</v>
      </c>
      <c r="E38" s="3179" t="s">
        <v>3433</v>
      </c>
      <c r="F38" s="399">
        <f>SUMIF(114:114,E38,115:115)-SUMIF(114:114,C38,115:115)+100</f>
        <v>100</v>
      </c>
      <c r="G38" s="3179" t="s">
        <v>3433</v>
      </c>
      <c r="H38" s="373">
        <f>SUMIF(114:114,G38,115:115)-SUMIF(114:114,C38,115:115)+100</f>
        <v>100</v>
      </c>
      <c r="I38" s="3179" t="s">
        <v>3433</v>
      </c>
      <c r="J38" s="373">
        <f>SUMIF(114:114,I38,115:115)-SUMIF(114:114,C38,115:115)+100</f>
        <v>100</v>
      </c>
      <c r="K38" s="364">
        <v>1</v>
      </c>
      <c r="L38" s="2487"/>
      <c r="M38" s="2482"/>
      <c r="N38" s="2482"/>
      <c r="O38" s="2482"/>
      <c r="P38" s="3439" t="s">
        <v>1696</v>
      </c>
      <c r="Q38" s="1261" t="str">
        <f t="shared" si="8"/>
        <v>物业管理</v>
      </c>
      <c r="R38" s="666" t="s">
        <v>18</v>
      </c>
      <c r="S38" s="667">
        <f t="shared" si="9"/>
        <v>100</v>
      </c>
      <c r="T38" s="666" t="s">
        <v>18</v>
      </c>
      <c r="U38" s="667">
        <f t="shared" si="10"/>
        <v>100</v>
      </c>
      <c r="V38" s="666" t="s">
        <v>18</v>
      </c>
      <c r="W38" s="667">
        <f t="shared" si="11"/>
        <v>100</v>
      </c>
      <c r="X38" s="1263"/>
      <c r="Y38" s="3441" t="s">
        <v>1696</v>
      </c>
      <c r="Z38" s="1262" t="str">
        <f t="shared" si="15"/>
        <v>物业管理</v>
      </c>
      <c r="AA38" s="1262">
        <f t="shared" si="12"/>
        <v>1</v>
      </c>
      <c r="AB38" s="1262">
        <f t="shared" si="13"/>
        <v>1</v>
      </c>
      <c r="AC38" s="1262">
        <f t="shared" si="14"/>
        <v>1</v>
      </c>
    </row>
    <row r="39" spans="1:29" ht="15">
      <c r="A39" s="408"/>
      <c r="B39" s="363" t="s">
        <v>1701</v>
      </c>
      <c r="C39" s="3179" t="s">
        <v>3400</v>
      </c>
      <c r="D39" s="373">
        <v>100</v>
      </c>
      <c r="E39" s="3179" t="s">
        <v>3400</v>
      </c>
      <c r="F39" s="399">
        <f>SUMIF(116:116,E39,117:117)-SUMIF(116:116,C39,117:117)+100</f>
        <v>100</v>
      </c>
      <c r="G39" s="3179" t="s">
        <v>3400</v>
      </c>
      <c r="H39" s="373">
        <f>SUMIF(116:116,G39,117:117)-SUMIF(116:116,C39,117:117)+100</f>
        <v>100</v>
      </c>
      <c r="I39" s="3179" t="s">
        <v>3400</v>
      </c>
      <c r="J39" s="373">
        <f>SUMIF(116:116,I39,117:117)-SUMIF(116:116,C39,117:117)+100</f>
        <v>100</v>
      </c>
      <c r="K39" s="364"/>
      <c r="L39" s="2487"/>
      <c r="M39" s="2482"/>
      <c r="N39" s="2482"/>
      <c r="O39" s="2482"/>
      <c r="P39" s="3439"/>
      <c r="Q39" s="1261" t="str">
        <f t="shared" si="8"/>
        <v>市政基础设施</v>
      </c>
      <c r="R39" s="666" t="s">
        <v>18</v>
      </c>
      <c r="S39" s="667">
        <f t="shared" si="9"/>
        <v>100</v>
      </c>
      <c r="T39" s="666" t="s">
        <v>18</v>
      </c>
      <c r="U39" s="667">
        <f t="shared" si="10"/>
        <v>100</v>
      </c>
      <c r="V39" s="666" t="s">
        <v>18</v>
      </c>
      <c r="W39" s="667">
        <f t="shared" si="11"/>
        <v>100</v>
      </c>
      <c r="X39" s="1263"/>
      <c r="Y39" s="3441"/>
      <c r="Z39" s="1262" t="str">
        <f t="shared" si="15"/>
        <v>市政基础设施</v>
      </c>
      <c r="AA39" s="1262">
        <f t="shared" si="12"/>
        <v>1</v>
      </c>
      <c r="AB39" s="1262">
        <f t="shared" si="13"/>
        <v>1</v>
      </c>
      <c r="AC39" s="1262">
        <f t="shared" si="14"/>
        <v>1</v>
      </c>
    </row>
    <row r="40" spans="1:29" ht="15">
      <c r="A40" s="408"/>
      <c r="B40" s="363" t="s">
        <v>1702</v>
      </c>
      <c r="C40" s="1757" t="s">
        <v>3452</v>
      </c>
      <c r="D40" s="373">
        <v>100</v>
      </c>
      <c r="E40" s="1757" t="s">
        <v>3452</v>
      </c>
      <c r="F40" s="399">
        <f>SUMIF(118:118,E40,119:119)-SUMIF(118:118,C40,119:119)+100</f>
        <v>100</v>
      </c>
      <c r="G40" s="1757" t="s">
        <v>3452</v>
      </c>
      <c r="H40" s="373">
        <f>SUMIF(118:118,G40,119:119)-SUMIF(118:118,C40,119:119)+100</f>
        <v>100</v>
      </c>
      <c r="I40" s="1757" t="s">
        <v>3450</v>
      </c>
      <c r="J40" s="373">
        <f>SUMIF(118:118,I40,119:119)-SUMIF(118:118,C40,119:119)+100</f>
        <v>102</v>
      </c>
      <c r="K40" s="364">
        <v>2</v>
      </c>
      <c r="L40" s="2487"/>
      <c r="M40" s="2482"/>
      <c r="N40" s="2482"/>
      <c r="O40" s="2482"/>
      <c r="P40" s="3439"/>
      <c r="Q40" s="1261" t="str">
        <f t="shared" si="8"/>
        <v>房型</v>
      </c>
      <c r="R40" s="666" t="s">
        <v>18</v>
      </c>
      <c r="S40" s="667">
        <f t="shared" si="9"/>
        <v>100</v>
      </c>
      <c r="T40" s="666" t="s">
        <v>18</v>
      </c>
      <c r="U40" s="667">
        <f t="shared" si="10"/>
        <v>100</v>
      </c>
      <c r="V40" s="666" t="s">
        <v>18</v>
      </c>
      <c r="W40" s="667">
        <f t="shared" si="11"/>
        <v>102</v>
      </c>
      <c r="X40" s="1263"/>
      <c r="Y40" s="3441"/>
      <c r="Z40" s="1262" t="str">
        <f t="shared" si="15"/>
        <v>房型</v>
      </c>
      <c r="AA40" s="1262">
        <f t="shared" si="12"/>
        <v>1</v>
      </c>
      <c r="AB40" s="1262">
        <f t="shared" si="13"/>
        <v>1</v>
      </c>
      <c r="AC40" s="1262">
        <f t="shared" si="14"/>
        <v>0.98039215686274506</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39"/>
      <c r="Q41" s="530" t="str">
        <f t="shared" si="8"/>
        <v>单套/主力户型建筑面积</v>
      </c>
      <c r="R41" s="668" t="s">
        <v>18</v>
      </c>
      <c r="S41" s="669">
        <f t="shared" si="9"/>
        <v>100</v>
      </c>
      <c r="T41" s="668" t="s">
        <v>18</v>
      </c>
      <c r="U41" s="669">
        <f t="shared" si="10"/>
        <v>100</v>
      </c>
      <c r="V41" s="668" t="s">
        <v>18</v>
      </c>
      <c r="W41" s="669">
        <f t="shared" si="11"/>
        <v>100</v>
      </c>
      <c r="X41" s="670"/>
      <c r="Y41" s="3441"/>
      <c r="Z41" s="671" t="str">
        <f t="shared" si="15"/>
        <v>单套/主力户型建筑面积</v>
      </c>
      <c r="AA41" s="1262">
        <f t="shared" si="12"/>
        <v>1</v>
      </c>
      <c r="AB41" s="1262">
        <f t="shared" si="13"/>
        <v>1</v>
      </c>
      <c r="AC41" s="1262">
        <f t="shared" si="14"/>
        <v>1</v>
      </c>
    </row>
    <row r="42" spans="1:29" ht="15">
      <c r="A42" s="408"/>
      <c r="B42" s="363" t="s">
        <v>1704</v>
      </c>
      <c r="C42" s="1757" t="s">
        <v>3469</v>
      </c>
      <c r="D42" s="373">
        <v>100</v>
      </c>
      <c r="E42" s="1757" t="s">
        <v>3444</v>
      </c>
      <c r="F42" s="3563">
        <f>SUMIF(122:122,E42,123:123)-SUMIF(122:122,C42,123:123)+100</f>
        <v>103</v>
      </c>
      <c r="G42" s="1757" t="s">
        <v>3444</v>
      </c>
      <c r="H42" s="3564">
        <f>SUMIF(122:122,G42,123:123)-SUMIF(122:122,C42,123:123)+100</f>
        <v>103</v>
      </c>
      <c r="I42" s="1757" t="s">
        <v>3444</v>
      </c>
      <c r="J42" s="3564">
        <f>SUMIF(122:122,I42,123:123)-SUMIF(122:122,C42,123:123)+100</f>
        <v>103</v>
      </c>
      <c r="K42" s="364">
        <v>1.5</v>
      </c>
      <c r="L42" s="2487"/>
      <c r="M42" s="2482"/>
      <c r="N42" s="2482"/>
      <c r="O42" s="2482"/>
      <c r="P42" s="3439"/>
      <c r="Q42" s="1261" t="str">
        <f t="shared" si="8"/>
        <v>内部装修</v>
      </c>
      <c r="R42" s="666" t="s">
        <v>18</v>
      </c>
      <c r="S42" s="667">
        <f t="shared" si="9"/>
        <v>103</v>
      </c>
      <c r="T42" s="666" t="s">
        <v>18</v>
      </c>
      <c r="U42" s="667">
        <f t="shared" si="10"/>
        <v>103</v>
      </c>
      <c r="V42" s="666" t="s">
        <v>18</v>
      </c>
      <c r="W42" s="667">
        <f t="shared" si="11"/>
        <v>103</v>
      </c>
      <c r="X42" s="1263"/>
      <c r="Y42" s="3441"/>
      <c r="Z42" s="1262" t="str">
        <f t="shared" si="15"/>
        <v>内部装修</v>
      </c>
      <c r="AA42" s="1262">
        <f t="shared" si="12"/>
        <v>0.970873786407767</v>
      </c>
      <c r="AB42" s="1262">
        <f t="shared" si="13"/>
        <v>0.970873786407767</v>
      </c>
      <c r="AC42" s="1262">
        <f t="shared" si="14"/>
        <v>0.970873786407767</v>
      </c>
    </row>
    <row r="43" spans="1:29" ht="15">
      <c r="A43" s="408"/>
      <c r="B43" s="363" t="s">
        <v>1705</v>
      </c>
      <c r="C43" s="1757" t="s">
        <v>3395</v>
      </c>
      <c r="D43" s="373">
        <v>100</v>
      </c>
      <c r="E43" s="1757" t="s">
        <v>3395</v>
      </c>
      <c r="F43" s="399">
        <f>SUMIF(124:124,E43,125:125)-SUMIF(124:124,C43,125:125)+100</f>
        <v>100</v>
      </c>
      <c r="G43" s="1757" t="s">
        <v>3395</v>
      </c>
      <c r="H43" s="373">
        <f>SUMIF(124:124,G43,125:125)-SUMIF(124:124,C43,125:125)+100</f>
        <v>100</v>
      </c>
      <c r="I43" s="1757" t="s">
        <v>3395</v>
      </c>
      <c r="J43" s="373">
        <f>SUMIF(124:124,I43,125:125)-SUMIF(124:124,C43,125:125)+100</f>
        <v>100</v>
      </c>
      <c r="K43" s="364">
        <v>0.5</v>
      </c>
      <c r="L43" s="2487"/>
      <c r="M43" s="2482"/>
      <c r="N43" s="2482"/>
      <c r="O43" s="2482"/>
      <c r="P43" s="3439"/>
      <c r="Q43" s="1261" t="str">
        <f t="shared" si="8"/>
        <v>内部装修维护情况</v>
      </c>
      <c r="R43" s="666" t="s">
        <v>18</v>
      </c>
      <c r="S43" s="667">
        <f t="shared" si="9"/>
        <v>100</v>
      </c>
      <c r="T43" s="666" t="s">
        <v>18</v>
      </c>
      <c r="U43" s="667">
        <f t="shared" si="10"/>
        <v>100</v>
      </c>
      <c r="V43" s="666" t="s">
        <v>18</v>
      </c>
      <c r="W43" s="667">
        <f t="shared" si="11"/>
        <v>100</v>
      </c>
      <c r="X43" s="1263"/>
      <c r="Y43" s="3441"/>
      <c r="Z43" s="1262" t="str">
        <f t="shared" si="15"/>
        <v>内部装修维护情况</v>
      </c>
      <c r="AA43" s="1262">
        <f t="shared" si="12"/>
        <v>1</v>
      </c>
      <c r="AB43" s="1262">
        <f t="shared" si="13"/>
        <v>1</v>
      </c>
      <c r="AC43" s="1262">
        <f t="shared" si="14"/>
        <v>1</v>
      </c>
    </row>
    <row r="44" spans="1:29" s="101" customFormat="1" ht="15">
      <c r="A44" s="409"/>
      <c r="B44" s="3140" t="s">
        <v>3471</v>
      </c>
      <c r="C44" s="3142" t="s">
        <v>3472</v>
      </c>
      <c r="D44" s="118">
        <v>100</v>
      </c>
      <c r="E44" s="3142" t="s">
        <v>3472</v>
      </c>
      <c r="F44" s="363">
        <f>SUMIF(126:126,E44,127:127)-SUMIF(126:126,C44,127:127)+100</f>
        <v>100</v>
      </c>
      <c r="G44" s="3142" t="s">
        <v>3472</v>
      </c>
      <c r="H44" s="118">
        <f>SUMIF(126:126,G44,127:127)-SUMIF(126:126,C44,127:127)+100</f>
        <v>100</v>
      </c>
      <c r="I44" s="3142" t="s">
        <v>3476</v>
      </c>
      <c r="J44" s="3565">
        <f>SUMIF(126:126,I44,127:127)-SUMIF(126:126,C44,127:127)+100</f>
        <v>99</v>
      </c>
      <c r="K44" s="1745"/>
      <c r="L44" s="2483"/>
      <c r="M44" s="2434"/>
      <c r="N44" s="2434"/>
      <c r="O44" s="2434"/>
      <c r="P44" s="3439"/>
      <c r="Q44" s="529" t="str">
        <f t="shared" si="8"/>
        <v>设施设备情况</v>
      </c>
      <c r="R44" s="663" t="s">
        <v>18</v>
      </c>
      <c r="S44" s="664">
        <f t="shared" si="9"/>
        <v>100</v>
      </c>
      <c r="T44" s="663" t="s">
        <v>18</v>
      </c>
      <c r="U44" s="664">
        <f t="shared" si="10"/>
        <v>100</v>
      </c>
      <c r="V44" s="663" t="s">
        <v>18</v>
      </c>
      <c r="W44" s="664">
        <f t="shared" si="11"/>
        <v>99</v>
      </c>
      <c r="X44" s="665"/>
      <c r="Y44" s="3441"/>
      <c r="Z44" s="50" t="str">
        <f t="shared" si="15"/>
        <v>设施设备情况</v>
      </c>
      <c r="AA44" s="50">
        <f t="shared" si="12"/>
        <v>1</v>
      </c>
      <c r="AB44" s="50">
        <f t="shared" si="13"/>
        <v>1</v>
      </c>
      <c r="AC44" s="50">
        <f t="shared" si="14"/>
        <v>1.0101010101010102</v>
      </c>
    </row>
    <row r="45" spans="1:29" ht="15.75" thickBot="1">
      <c r="A45" s="408"/>
      <c r="B45" s="3140"/>
      <c r="C45" s="3142"/>
      <c r="D45" s="373">
        <v>100</v>
      </c>
      <c r="E45" s="3142"/>
      <c r="F45" s="377">
        <f>SUMIF(129:129,E45,130:130)-SUMIF(129:129,C45,130:130)+100</f>
        <v>100</v>
      </c>
      <c r="G45" s="375"/>
      <c r="H45" s="376">
        <f>SUMIF(129:129,G45,130:130)-SUMIF(129:129,C45,130:130)+100</f>
        <v>100</v>
      </c>
      <c r="I45" s="375"/>
      <c r="J45" s="376">
        <f>SUMIF(129:129,I45,130:130)-SUMIF(129:129,C45,130:130)+100</f>
        <v>100</v>
      </c>
      <c r="K45" s="1745"/>
      <c r="L45" s="2487"/>
      <c r="M45" s="2482"/>
      <c r="N45" s="2482"/>
      <c r="O45" s="2482"/>
      <c r="P45" s="3439"/>
      <c r="Q45" s="1261">
        <f t="shared" si="8"/>
        <v>0</v>
      </c>
      <c r="R45" s="666" t="s">
        <v>18</v>
      </c>
      <c r="S45" s="667">
        <f t="shared" si="9"/>
        <v>100</v>
      </c>
      <c r="T45" s="666" t="s">
        <v>18</v>
      </c>
      <c r="U45" s="667">
        <f t="shared" si="10"/>
        <v>100</v>
      </c>
      <c r="V45" s="666" t="s">
        <v>18</v>
      </c>
      <c r="W45" s="667">
        <f t="shared" si="11"/>
        <v>100</v>
      </c>
      <c r="X45" s="1263"/>
      <c r="Y45" s="3441"/>
      <c r="Z45" s="1262">
        <f t="shared" si="15"/>
        <v>0</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40"/>
      <c r="Q46" s="1261">
        <f t="shared" si="8"/>
        <v>111</v>
      </c>
      <c r="R46" s="666" t="s">
        <v>17</v>
      </c>
      <c r="S46" s="667">
        <f t="shared" si="9"/>
        <v>100</v>
      </c>
      <c r="T46" s="666" t="s">
        <v>17</v>
      </c>
      <c r="U46" s="667">
        <f t="shared" si="10"/>
        <v>100</v>
      </c>
      <c r="V46" s="666" t="s">
        <v>17</v>
      </c>
      <c r="W46" s="667">
        <f t="shared" si="11"/>
        <v>100</v>
      </c>
      <c r="X46" s="1263"/>
      <c r="Y46" s="3442"/>
      <c r="Z46" s="1262">
        <f t="shared" si="15"/>
        <v>111</v>
      </c>
      <c r="AA46" s="1262">
        <f t="shared" si="12"/>
        <v>1</v>
      </c>
      <c r="AB46" s="1262">
        <f t="shared" si="13"/>
        <v>1</v>
      </c>
      <c r="AC46" s="1262">
        <f t="shared" si="14"/>
        <v>1</v>
      </c>
    </row>
    <row r="47" spans="1:29" ht="15">
      <c r="A47" s="415" t="s">
        <v>1706</v>
      </c>
      <c r="B47" s="416"/>
      <c r="C47" s="1080" t="s">
        <v>16</v>
      </c>
      <c r="D47" s="417"/>
      <c r="E47" s="418">
        <v>26772</v>
      </c>
      <c r="F47" s="419"/>
      <c r="G47" s="420">
        <v>26960</v>
      </c>
      <c r="H47" s="421"/>
      <c r="I47" s="418">
        <v>27566</v>
      </c>
      <c r="J47" s="421"/>
      <c r="K47" s="1762"/>
      <c r="L47" s="2489"/>
      <c r="M47" s="2482"/>
      <c r="N47" s="2482"/>
      <c r="O47" s="2482"/>
      <c r="P47" s="3434" t="str">
        <f>A47</f>
        <v>成交单价（元/平方米）</v>
      </c>
      <c r="Q47" s="3434"/>
      <c r="R47" s="3435">
        <f>E47</f>
        <v>26772</v>
      </c>
      <c r="S47" s="3435"/>
      <c r="T47" s="3435">
        <f>G47</f>
        <v>26960</v>
      </c>
      <c r="U47" s="3435"/>
      <c r="V47" s="3435">
        <f>I47</f>
        <v>27566</v>
      </c>
      <c r="W47" s="3435"/>
      <c r="X47" s="384"/>
      <c r="Y47" s="672"/>
      <c r="Z47" s="384"/>
      <c r="AA47" s="384"/>
      <c r="AB47" s="384"/>
      <c r="AC47" s="384"/>
    </row>
    <row r="48" spans="1:29" ht="15.75" thickBot="1">
      <c r="A48" s="422" t="s">
        <v>1707</v>
      </c>
      <c r="B48" s="423"/>
      <c r="C48" s="1081">
        <f>R49</f>
        <v>26735</v>
      </c>
      <c r="D48" s="2136" t="s">
        <v>2135</v>
      </c>
      <c r="E48" s="1082">
        <f>R48</f>
        <v>26791</v>
      </c>
      <c r="F48" s="2137"/>
      <c r="G48" s="1081">
        <f>T48</f>
        <v>26063</v>
      </c>
      <c r="H48" s="2137"/>
      <c r="I48" s="1082">
        <f>V48</f>
        <v>27351</v>
      </c>
      <c r="J48" s="2137"/>
      <c r="K48" s="2138">
        <f>F48+H48+J48</f>
        <v>0</v>
      </c>
      <c r="L48" s="2489"/>
      <c r="M48" s="2482"/>
      <c r="N48" s="2482"/>
      <c r="O48" s="2482"/>
      <c r="P48" s="3434" t="str">
        <f>A48</f>
        <v>比较价值（元/平方米）</v>
      </c>
      <c r="Q48" s="3434"/>
      <c r="R48" s="3435">
        <f>IF(F1="售价",ROUND(PRODUCT(R47,AA7:AA46),0),ROUND(PRODUCT(R47,AA7:AA46),1))</f>
        <v>26791</v>
      </c>
      <c r="S48" s="3435"/>
      <c r="T48" s="3435">
        <f>IF(F1="售价",ROUND(PRODUCT(T47,AB7:AB46),0),ROUND(PRODUCT(T47,AB7:AB46),1))</f>
        <v>26063</v>
      </c>
      <c r="U48" s="3435"/>
      <c r="V48" s="3435">
        <f>IF(F1="售价",ROUND(PRODUCT(V47,AC7:AC46),0),ROUND(PRODUCT(V47,AC7:AC46),1))</f>
        <v>27351</v>
      </c>
      <c r="W48" s="3435"/>
      <c r="X48" s="384"/>
      <c r="Y48" s="384"/>
      <c r="Z48" s="384"/>
      <c r="AA48" s="384"/>
      <c r="AB48" s="384"/>
      <c r="AC48" s="384"/>
    </row>
    <row r="49" spans="1:29" ht="15.75" thickBot="1">
      <c r="A49" s="426" t="s">
        <v>1708</v>
      </c>
      <c r="B49" s="427"/>
      <c r="C49" s="1083">
        <f>R49</f>
        <v>26735</v>
      </c>
      <c r="D49" s="350"/>
      <c r="E49" s="350"/>
      <c r="F49" s="350"/>
      <c r="G49" s="350"/>
      <c r="H49" s="350"/>
      <c r="I49" s="350"/>
      <c r="J49" s="350"/>
      <c r="K49" s="1763"/>
      <c r="L49" s="2489"/>
      <c r="M49" s="2482"/>
      <c r="N49" s="2482"/>
      <c r="O49" s="2482"/>
      <c r="P49" s="3431" t="str">
        <f>A49</f>
        <v>估价对象XX用房的比较价值（楼面单价，元/平方米）</v>
      </c>
      <c r="Q49" s="3432"/>
      <c r="R49" s="3433">
        <f>IF(F1="售价",ROUND(IF(D48="简单平均",AVERAGE(R48:V48),R48*F48+T48*H48+V48*J48),0),ROUND(IF(D48="简单平均",AVERAGE(R48:V48),R48*F48+T48*H48+V48*J48),1))</f>
        <v>26735</v>
      </c>
      <c r="S49" s="3433"/>
      <c r="T49" s="3433"/>
      <c r="U49" s="3433"/>
      <c r="V49" s="3433"/>
      <c r="W49" s="3433"/>
      <c r="X49" s="384"/>
      <c r="Y49" s="384"/>
      <c r="Z49" s="384"/>
      <c r="AA49" s="384"/>
      <c r="AB49" s="384"/>
      <c r="AC49" s="384"/>
    </row>
    <row r="50" spans="1:29">
      <c r="A50" s="2482"/>
      <c r="B50" s="2482"/>
      <c r="C50" s="2482"/>
      <c r="D50" s="2482"/>
      <c r="E50" s="2482">
        <v>2007</v>
      </c>
      <c r="F50" s="2482"/>
      <c r="G50" s="2482">
        <v>2005</v>
      </c>
      <c r="H50" s="2482"/>
      <c r="I50" s="2482">
        <v>1998</v>
      </c>
      <c r="J50" s="2482"/>
      <c r="K50" s="2494"/>
      <c r="L50" s="2490"/>
      <c r="M50" s="2482"/>
      <c r="N50" s="2482"/>
      <c r="O50" s="2482"/>
    </row>
    <row r="51" spans="1:29">
      <c r="A51" s="2482"/>
      <c r="B51" s="2482"/>
      <c r="C51" s="2482"/>
      <c r="D51" s="2482"/>
      <c r="E51" s="2482">
        <f>ROUND((1-(2024-E50)/60)*0.3+0.9*0.7,2)</f>
        <v>0.85</v>
      </c>
      <c r="F51" s="2482"/>
      <c r="G51" s="2482">
        <f>ROUND((1-(2024-G50)/60)*0.3+0.9*0.7,2)</f>
        <v>0.84</v>
      </c>
      <c r="H51" s="2482"/>
      <c r="I51" s="2482">
        <f>ROUND((1-(2024-I50)/60)*0.3+0.85*0.7,2)</f>
        <v>0.77</v>
      </c>
      <c r="J51" s="2482"/>
      <c r="K51" s="2494"/>
      <c r="L51" s="2490"/>
      <c r="M51" s="2482"/>
      <c r="N51" s="2482"/>
      <c r="O51" s="2482"/>
    </row>
    <row r="52" spans="1:29" ht="13.5" customHeight="1">
      <c r="A52" s="2482"/>
      <c r="B52" s="2482"/>
      <c r="C52" s="431" t="s">
        <v>1709</v>
      </c>
      <c r="D52" s="432"/>
      <c r="E52" s="433">
        <f>IF(E47&lt;E48,E48/E47-1,E47/E48-1)</f>
        <v>7.0969669804266111E-4</v>
      </c>
      <c r="F52" s="434" t="str">
        <f>IF(OR(E52&gt;=0.3,E52&lt;=-0.3),"超过30%","")</f>
        <v/>
      </c>
      <c r="G52" s="433">
        <f>IF(G47&lt;G48,G48/G47-1,G47/G48-1)</f>
        <v>3.4416605916433252E-2</v>
      </c>
      <c r="H52" s="434" t="str">
        <f>IF(OR(G52&gt;=0.3,G52&lt;=-0.3),"超过30%","")</f>
        <v/>
      </c>
      <c r="I52" s="433">
        <f>IF(I47&lt;I48,I48/I47-1,I47/I48-1)</f>
        <v>7.860772915067038E-3</v>
      </c>
      <c r="J52" s="434" t="str">
        <f>IF(OR(I52&gt;=0.3,I52&lt;=-0.3),"超过30%","")</f>
        <v/>
      </c>
      <c r="K52" s="2494"/>
      <c r="L52" s="2490"/>
      <c r="M52" s="2482"/>
      <c r="N52" s="2482"/>
      <c r="O52" s="2482"/>
    </row>
    <row r="53" spans="1:29" ht="13.5" customHeight="1">
      <c r="A53" s="2482"/>
      <c r="B53" s="2482"/>
      <c r="C53" s="431" t="s">
        <v>1710</v>
      </c>
      <c r="D53" s="435"/>
      <c r="E53" s="433">
        <f>IF(E48&lt;G48,G48/E48-1,E48/G48-1)</f>
        <v>2.79323178452211E-2</v>
      </c>
      <c r="F53" s="434" t="str">
        <f>IF(OR(E53&gt;=0.2,E53&lt;=-0.2),"超过20%","")</f>
        <v/>
      </c>
      <c r="G53" s="433">
        <f>IF(G48&lt;I48,I48/G48-1,G48/I48-1)</f>
        <v>4.9418716187699108E-2</v>
      </c>
      <c r="H53" s="434" t="str">
        <f>IF(OR(G53&gt;=0.2,G53&lt;=-0.2),"超过20%","")</f>
        <v/>
      </c>
      <c r="I53" s="433">
        <f>IF(I48&lt;E48,E48/I48-1,I48/E48-1)</f>
        <v>2.0902541898398797E-2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7.0222620648439094E-3</v>
      </c>
      <c r="F54" s="434" t="str">
        <f>IF(OR(E54&gt;=0.3,E54&lt;=-0.3),"超过30%","")</f>
        <v/>
      </c>
      <c r="G54" s="433">
        <f>IF(G47&lt;I47,I47/G47-1,G47/I47-1)</f>
        <v>2.2477744807121613E-2</v>
      </c>
      <c r="H54" s="434" t="str">
        <f>IF(OR(G54&gt;=0.3,G54&lt;=-0.3),"超过30%","")</f>
        <v/>
      </c>
      <c r="I54" s="433">
        <f>IF(I47&lt;E47,E47/I47-1,I47/E47-1)</f>
        <v>2.9657851486627917E-2</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2024-12</v>
      </c>
      <c r="D58" s="1102">
        <f>EDATE(C58,-1)</f>
        <v>45597</v>
      </c>
      <c r="E58" s="1102">
        <f>EDATE(D58,-1)</f>
        <v>45566</v>
      </c>
      <c r="F58" s="1102">
        <f t="shared" ref="F58:O58" si="16">EDATE(E58,-1)</f>
        <v>45536</v>
      </c>
      <c r="G58" s="1102">
        <f t="shared" si="16"/>
        <v>45505</v>
      </c>
      <c r="H58" s="1102">
        <f t="shared" si="16"/>
        <v>45474</v>
      </c>
      <c r="I58" s="1102">
        <f t="shared" si="16"/>
        <v>45444</v>
      </c>
      <c r="J58" s="1102">
        <f t="shared" si="16"/>
        <v>45413</v>
      </c>
      <c r="K58" s="1102">
        <f t="shared" si="16"/>
        <v>45383</v>
      </c>
      <c r="L58" s="1102">
        <f t="shared" si="16"/>
        <v>45352</v>
      </c>
      <c r="M58" s="1102">
        <f t="shared" si="16"/>
        <v>45323</v>
      </c>
      <c r="N58" s="1102">
        <f t="shared" si="16"/>
        <v>45292</v>
      </c>
      <c r="O58" s="1102">
        <f t="shared" si="16"/>
        <v>45261</v>
      </c>
      <c r="P58" s="3143">
        <f t="shared" ref="P58:AB58" si="17">EDATE(O58,-1)</f>
        <v>45231</v>
      </c>
      <c r="Q58" s="3143">
        <f t="shared" si="17"/>
        <v>45200</v>
      </c>
      <c r="R58" s="3143">
        <f t="shared" si="17"/>
        <v>45170</v>
      </c>
      <c r="S58" s="3143">
        <f t="shared" si="17"/>
        <v>45139</v>
      </c>
      <c r="T58" s="3143">
        <f t="shared" si="17"/>
        <v>45108</v>
      </c>
      <c r="U58" s="3143">
        <f t="shared" si="17"/>
        <v>45078</v>
      </c>
      <c r="V58" s="3143">
        <f t="shared" si="17"/>
        <v>45047</v>
      </c>
      <c r="W58" s="3143">
        <f t="shared" si="17"/>
        <v>45017</v>
      </c>
      <c r="X58" s="3143">
        <f t="shared" si="17"/>
        <v>44986</v>
      </c>
      <c r="Y58" s="3143">
        <f t="shared" si="17"/>
        <v>44958</v>
      </c>
      <c r="Z58" s="3143">
        <f t="shared" si="17"/>
        <v>44927</v>
      </c>
      <c r="AA58" s="3143">
        <f t="shared" si="17"/>
        <v>44896</v>
      </c>
      <c r="AB58" s="3143">
        <f t="shared" si="17"/>
        <v>44866</v>
      </c>
    </row>
    <row r="59" spans="1:29" s="101" customFormat="1" ht="15">
      <c r="A59" s="442"/>
      <c r="B59" s="1767"/>
      <c r="C59" s="1100">
        <v>100</v>
      </c>
      <c r="D59" s="445">
        <f>C59</f>
        <v>100</v>
      </c>
      <c r="E59" s="445">
        <f>D59+$C$60</f>
        <v>100.2</v>
      </c>
      <c r="F59" s="445">
        <f>E59</f>
        <v>100.2</v>
      </c>
      <c r="G59" s="445">
        <f>F59</f>
        <v>100.2</v>
      </c>
      <c r="H59" s="445">
        <f t="shared" ref="H59" si="18">G59+$C$60</f>
        <v>100.4</v>
      </c>
      <c r="I59" s="445">
        <f t="shared" ref="I59:J59" si="19">H59</f>
        <v>100.4</v>
      </c>
      <c r="J59" s="445">
        <f t="shared" si="19"/>
        <v>100.4</v>
      </c>
      <c r="K59" s="445">
        <f t="shared" ref="K59" si="20">J59+$C$60</f>
        <v>100.60000000000001</v>
      </c>
      <c r="L59" s="445">
        <f t="shared" ref="L59:M59" si="21">K59</f>
        <v>100.60000000000001</v>
      </c>
      <c r="M59" s="445">
        <f t="shared" si="21"/>
        <v>100.60000000000001</v>
      </c>
      <c r="N59" s="445">
        <f t="shared" ref="N59" si="22">M59+$C$60</f>
        <v>100.80000000000001</v>
      </c>
      <c r="O59" s="445">
        <f t="shared" ref="O59:P59" si="23">N59</f>
        <v>100.80000000000001</v>
      </c>
      <c r="P59" s="445">
        <f t="shared" si="23"/>
        <v>100.80000000000001</v>
      </c>
      <c r="Q59" s="445">
        <f t="shared" ref="Q59" si="24">P59+$C$60</f>
        <v>101.00000000000001</v>
      </c>
      <c r="R59" s="445">
        <f t="shared" ref="R59:S59" si="25">Q59</f>
        <v>101.00000000000001</v>
      </c>
      <c r="S59" s="445">
        <f t="shared" si="25"/>
        <v>101.00000000000001</v>
      </c>
      <c r="T59" s="101">
        <f>S59</f>
        <v>101.00000000000001</v>
      </c>
      <c r="U59" s="101">
        <f>T59</f>
        <v>101.00000000000001</v>
      </c>
      <c r="V59" s="101">
        <f>U59-C60</f>
        <v>100.80000000000001</v>
      </c>
      <c r="W59" s="101">
        <f>V59</f>
        <v>100.80000000000001</v>
      </c>
      <c r="X59" s="101">
        <f>V59</f>
        <v>100.80000000000001</v>
      </c>
      <c r="Y59" s="101">
        <f>X59-C60</f>
        <v>100.60000000000001</v>
      </c>
      <c r="Z59" s="101">
        <f>Y59</f>
        <v>100.60000000000001</v>
      </c>
      <c r="AA59" s="101">
        <f>Y59</f>
        <v>100.60000000000001</v>
      </c>
      <c r="AB59" s="101">
        <f>AA59-C60</f>
        <v>100.4</v>
      </c>
    </row>
    <row r="60" spans="1:29" s="101" customFormat="1" ht="15.75" thickBot="1">
      <c r="A60" s="448" t="s">
        <v>1714</v>
      </c>
      <c r="B60" s="449"/>
      <c r="C60" s="450">
        <v>0.2</v>
      </c>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5" t="s">
        <v>3437</v>
      </c>
      <c r="D65" s="3145" t="s">
        <v>3438</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26">D68&amp;"（含）"&amp;"-"&amp;E68</f>
        <v>1（含）-2</v>
      </c>
      <c r="E67" s="477" t="str">
        <f t="shared" si="26"/>
        <v>2（含）-3</v>
      </c>
      <c r="F67" s="477" t="str">
        <f t="shared" si="26"/>
        <v>3（含）-</v>
      </c>
      <c r="G67" s="477" t="str">
        <f t="shared" si="26"/>
        <v>（含）-</v>
      </c>
      <c r="H67" s="477" t="str">
        <f t="shared" si="26"/>
        <v>（含）-</v>
      </c>
      <c r="I67" s="477" t="str">
        <f t="shared" si="26"/>
        <v>（含）-</v>
      </c>
      <c r="J67" s="477" t="str">
        <f t="shared" si="26"/>
        <v>（含）-</v>
      </c>
      <c r="K67" s="477" t="str">
        <f>K68&amp;"（含）"&amp;"-"&amp;L68</f>
        <v>（含）-</v>
      </c>
      <c r="L67" s="477" t="str">
        <f t="shared" si="26"/>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27">C69-$K11</f>
        <v>100</v>
      </c>
      <c r="E69" s="474">
        <f t="shared" si="27"/>
        <v>100</v>
      </c>
      <c r="F69" s="474">
        <f t="shared" si="27"/>
        <v>100</v>
      </c>
      <c r="G69" s="474">
        <f t="shared" si="27"/>
        <v>100</v>
      </c>
      <c r="H69" s="474">
        <f t="shared" si="27"/>
        <v>100</v>
      </c>
      <c r="I69" s="474">
        <f t="shared" si="27"/>
        <v>100</v>
      </c>
      <c r="J69" s="474">
        <f t="shared" si="27"/>
        <v>100</v>
      </c>
      <c r="K69" s="474">
        <f t="shared" si="27"/>
        <v>100</v>
      </c>
      <c r="L69" s="474">
        <f t="shared" si="27"/>
        <v>100</v>
      </c>
      <c r="M69" s="475">
        <f t="shared" si="27"/>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99.5</v>
      </c>
      <c r="E79" s="474">
        <f>D79-$K17</f>
        <v>99</v>
      </c>
      <c r="F79" s="474">
        <f>E79-$K17</f>
        <v>98.5</v>
      </c>
      <c r="G79" s="474">
        <f>F79-$K17</f>
        <v>98</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97</v>
      </c>
      <c r="E81" s="474">
        <f>D81-$K19</f>
        <v>94</v>
      </c>
      <c r="F81" s="474">
        <f>E81-$K19</f>
        <v>91</v>
      </c>
      <c r="G81" s="474">
        <f>F81-$K19</f>
        <v>88</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39"/>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8">$C$87-($C$86-D86)*$K$25</f>
        <v>100</v>
      </c>
      <c r="E87" s="474">
        <f t="shared" si="28"/>
        <v>100</v>
      </c>
      <c r="F87" s="474">
        <f t="shared" si="28"/>
        <v>100</v>
      </c>
      <c r="G87" s="474">
        <f t="shared" si="28"/>
        <v>100</v>
      </c>
      <c r="H87" s="474">
        <f t="shared" si="28"/>
        <v>100</v>
      </c>
      <c r="I87" s="474">
        <f t="shared" si="28"/>
        <v>100</v>
      </c>
      <c r="J87" s="474">
        <f t="shared" si="28"/>
        <v>100</v>
      </c>
      <c r="K87" s="474">
        <f t="shared" si="28"/>
        <v>100</v>
      </c>
      <c r="L87" s="474">
        <f t="shared" si="28"/>
        <v>100</v>
      </c>
      <c r="M87" s="474">
        <f t="shared" si="28"/>
        <v>100</v>
      </c>
      <c r="N87" s="879"/>
      <c r="O87" s="879"/>
      <c r="P87" s="1770"/>
      <c r="Q87" s="438"/>
    </row>
    <row r="88" spans="1:17" s="101" customFormat="1" ht="15.75" thickTop="1">
      <c r="A88" s="369"/>
      <c r="B88" s="468" t="s">
        <v>1733</v>
      </c>
      <c r="C88" s="3158" t="s">
        <v>3409</v>
      </c>
      <c r="D88" s="3145" t="s">
        <v>3410</v>
      </c>
      <c r="E88" s="3145" t="s">
        <v>3411</v>
      </c>
      <c r="F88" s="3145" t="s">
        <v>3412</v>
      </c>
      <c r="G88" s="3145" t="s">
        <v>3413</v>
      </c>
      <c r="H88" s="3145" t="s">
        <v>3414</v>
      </c>
      <c r="I88" s="3159" t="s">
        <v>3415</v>
      </c>
      <c r="J88" s="3159" t="s">
        <v>3416</v>
      </c>
      <c r="K88" s="3145" t="s">
        <v>3417</v>
      </c>
      <c r="L88" s="3145" t="s">
        <v>3418</v>
      </c>
      <c r="M88" s="3145"/>
      <c r="N88" s="877"/>
      <c r="O88" s="877"/>
      <c r="P88" s="1770"/>
      <c r="Q88" s="438"/>
    </row>
    <row r="89" spans="1:17" s="101" customFormat="1" ht="15.75" thickBot="1">
      <c r="A89" s="369"/>
      <c r="B89" s="473"/>
      <c r="C89" s="511">
        <v>100</v>
      </c>
      <c r="D89" s="474">
        <f t="shared" ref="D89:M89" si="29">C89-$K26</f>
        <v>99</v>
      </c>
      <c r="E89" s="474">
        <f t="shared" si="29"/>
        <v>98</v>
      </c>
      <c r="F89" s="474">
        <f t="shared" si="29"/>
        <v>97</v>
      </c>
      <c r="G89" s="474">
        <f t="shared" si="29"/>
        <v>96</v>
      </c>
      <c r="H89" s="474">
        <f t="shared" si="29"/>
        <v>95</v>
      </c>
      <c r="I89" s="474">
        <f t="shared" si="29"/>
        <v>94</v>
      </c>
      <c r="J89" s="474">
        <f t="shared" si="29"/>
        <v>93</v>
      </c>
      <c r="K89" s="474">
        <f t="shared" si="29"/>
        <v>92</v>
      </c>
      <c r="L89" s="474">
        <f t="shared" si="29"/>
        <v>91</v>
      </c>
      <c r="M89" s="474">
        <f t="shared" si="29"/>
        <v>90</v>
      </c>
      <c r="N89" s="879"/>
      <c r="O89" s="879"/>
      <c r="P89" s="1770"/>
      <c r="Q89" s="438"/>
    </row>
    <row r="90" spans="1:17" s="407" customFormat="1" ht="15.75" thickTop="1">
      <c r="A90" s="483"/>
      <c r="B90" s="468" t="str">
        <f>B27</f>
        <v>楼层</v>
      </c>
      <c r="C90" s="3169" t="s">
        <v>3440</v>
      </c>
      <c r="D90" s="3169" t="s">
        <v>3441</v>
      </c>
      <c r="E90" s="3169" t="s">
        <v>3442</v>
      </c>
      <c r="F90" s="3169" t="s">
        <v>3445</v>
      </c>
      <c r="G90" s="3169"/>
      <c r="H90" s="3169"/>
      <c r="I90" s="485"/>
      <c r="J90" s="485"/>
      <c r="K90" s="485"/>
      <c r="L90" s="486"/>
      <c r="M90" s="487"/>
      <c r="N90" s="880"/>
      <c r="O90" s="880"/>
      <c r="P90" s="1771"/>
      <c r="Q90" s="489"/>
    </row>
    <row r="91" spans="1:17" s="407" customFormat="1" ht="15.75" thickBot="1">
      <c r="A91" s="483"/>
      <c r="B91" s="473"/>
      <c r="C91" s="407">
        <f>D91+$J$91</f>
        <v>104</v>
      </c>
      <c r="D91" s="407">
        <f>E91+$J$91</f>
        <v>102</v>
      </c>
      <c r="E91" s="407">
        <v>100</v>
      </c>
      <c r="F91" s="407">
        <f>E91-$J$91</f>
        <v>98</v>
      </c>
      <c r="G91" s="490"/>
      <c r="I91" s="492"/>
      <c r="J91" s="492">
        <v>2</v>
      </c>
      <c r="K91" s="492"/>
      <c r="L91" s="492"/>
      <c r="M91" s="493"/>
      <c r="N91" s="880"/>
      <c r="O91" s="880"/>
      <c r="P91" s="1771"/>
      <c r="Q91" s="489"/>
    </row>
    <row r="92" spans="1:17" ht="15.75" thickTop="1">
      <c r="A92" s="366"/>
      <c r="B92" s="468" t="str">
        <f>B28</f>
        <v>道路级别</v>
      </c>
      <c r="C92" s="3139" t="s">
        <v>3422</v>
      </c>
      <c r="D92" s="3139" t="s">
        <v>3421</v>
      </c>
      <c r="E92" s="3139" t="s">
        <v>3424</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4" t="s">
        <v>3428</v>
      </c>
      <c r="D100" s="3144" t="s">
        <v>3429</v>
      </c>
      <c r="E100" s="3144" t="s">
        <v>3419</v>
      </c>
      <c r="F100" s="3144" t="s">
        <v>3456</v>
      </c>
      <c r="G100" s="461"/>
      <c r="H100" s="461"/>
      <c r="I100" s="461"/>
      <c r="J100" s="461"/>
      <c r="K100" s="462"/>
      <c r="L100" s="463"/>
      <c r="M100" s="464"/>
      <c r="N100" s="878"/>
      <c r="O100" s="878"/>
      <c r="P100" s="1770"/>
      <c r="Q100" s="438"/>
    </row>
    <row r="101" spans="1:17" ht="15.75" thickBot="1">
      <c r="A101" s="366"/>
      <c r="B101" s="473"/>
      <c r="C101" s="474">
        <v>100</v>
      </c>
      <c r="D101" s="474">
        <f t="shared" ref="D101:M101" si="30">C101-$K32</f>
        <v>98</v>
      </c>
      <c r="E101" s="474">
        <f t="shared" si="30"/>
        <v>96</v>
      </c>
      <c r="F101" s="474">
        <f t="shared" si="30"/>
        <v>94</v>
      </c>
      <c r="G101" s="474">
        <f t="shared" si="30"/>
        <v>92</v>
      </c>
      <c r="H101" s="474">
        <f t="shared" si="30"/>
        <v>90</v>
      </c>
      <c r="I101" s="474">
        <f t="shared" si="30"/>
        <v>88</v>
      </c>
      <c r="J101" s="474">
        <f t="shared" si="30"/>
        <v>86</v>
      </c>
      <c r="K101" s="474">
        <f t="shared" si="30"/>
        <v>84</v>
      </c>
      <c r="L101" s="474">
        <f t="shared" si="30"/>
        <v>82</v>
      </c>
      <c r="M101" s="474">
        <f t="shared" si="30"/>
        <v>80</v>
      </c>
      <c r="N101" s="879"/>
      <c r="O101" s="879"/>
      <c r="P101" s="1770"/>
      <c r="Q101" s="438"/>
    </row>
    <row r="102" spans="1:17" ht="15.75" thickTop="1">
      <c r="A102" s="366"/>
      <c r="B102" s="468" t="s">
        <v>1735</v>
      </c>
      <c r="C102" s="508" t="str">
        <f>C103&amp;"(含)"&amp;"-"&amp;D103</f>
        <v>0(含)-60</v>
      </c>
      <c r="D102" s="508" t="str">
        <f t="shared" ref="D102:L102" si="31">D103&amp;"(含)"&amp;"-"&amp;E103</f>
        <v>60(含)-80</v>
      </c>
      <c r="E102" s="508" t="str">
        <f t="shared" si="31"/>
        <v>80(含)-100</v>
      </c>
      <c r="F102" s="508" t="str">
        <f t="shared" si="31"/>
        <v>100(含)-120</v>
      </c>
      <c r="G102" s="508" t="str">
        <f t="shared" si="31"/>
        <v>120(含)-140</v>
      </c>
      <c r="H102" s="508" t="str">
        <f t="shared" si="31"/>
        <v>140(含)-160</v>
      </c>
      <c r="I102" s="508" t="str">
        <f t="shared" si="31"/>
        <v>160(含)-</v>
      </c>
      <c r="J102" s="508" t="str">
        <f t="shared" si="31"/>
        <v>(含)-</v>
      </c>
      <c r="K102" s="508" t="str">
        <f>K103&amp;"(含)"&amp;"-"&amp;L103</f>
        <v>(含)-2</v>
      </c>
      <c r="L102" s="508" t="str">
        <f t="shared" si="31"/>
        <v>2(含)-</v>
      </c>
      <c r="M102" s="508" t="str">
        <f>M103&amp;"(含)"&amp;"-"&amp;P103</f>
        <v>(含)-</v>
      </c>
      <c r="N102" s="877"/>
      <c r="O102" s="877"/>
      <c r="P102" s="1770"/>
      <c r="Q102" s="438"/>
    </row>
    <row r="103" spans="1:17" s="407" customFormat="1">
      <c r="A103" s="405"/>
      <c r="B103" s="522"/>
      <c r="C103" s="6">
        <v>0</v>
      </c>
      <c r="D103" s="6">
        <v>60</v>
      </c>
      <c r="E103" s="6">
        <v>80</v>
      </c>
      <c r="F103" s="6">
        <v>100</v>
      </c>
      <c r="G103" s="6">
        <v>120</v>
      </c>
      <c r="H103" s="6">
        <v>140</v>
      </c>
      <c r="I103" s="6">
        <v>160</v>
      </c>
      <c r="J103" s="523"/>
      <c r="K103" s="523"/>
      <c r="L103" s="523">
        <v>2</v>
      </c>
      <c r="M103" s="525"/>
      <c r="N103" s="880"/>
      <c r="O103" s="880"/>
      <c r="P103" s="1771"/>
      <c r="Q103" s="489"/>
    </row>
    <row r="104" spans="1:17" s="407" customFormat="1" ht="15.75" thickBot="1">
      <c r="A104" s="483"/>
      <c r="B104" s="473"/>
      <c r="C104" s="466">
        <f t="shared" ref="C104:D104" si="32">D104+$L$103</f>
        <v>104</v>
      </c>
      <c r="D104" s="466">
        <f t="shared" si="32"/>
        <v>102</v>
      </c>
      <c r="E104" s="466">
        <v>100</v>
      </c>
      <c r="F104" s="466">
        <f>E104-$L$103</f>
        <v>98</v>
      </c>
      <c r="G104" s="466">
        <f t="shared" ref="G104:J104" si="33">F104-$L$103</f>
        <v>96</v>
      </c>
      <c r="H104" s="466">
        <f t="shared" si="33"/>
        <v>94</v>
      </c>
      <c r="I104" s="466">
        <f t="shared" si="33"/>
        <v>92</v>
      </c>
      <c r="J104" s="466">
        <f t="shared" si="33"/>
        <v>90</v>
      </c>
      <c r="K104" s="466"/>
      <c r="L104" s="466"/>
      <c r="M104" s="466"/>
      <c r="N104" s="879"/>
      <c r="O104" s="879"/>
      <c r="P104" s="1771"/>
      <c r="Q104" s="489"/>
    </row>
    <row r="105" spans="1:17" ht="15" thickTop="1">
      <c r="A105" s="408"/>
      <c r="B105" s="468" t="s">
        <v>1736</v>
      </c>
      <c r="C105" s="3139" t="s">
        <v>3401</v>
      </c>
      <c r="D105" s="3139" t="s">
        <v>3426</v>
      </c>
      <c r="E105" s="3145" t="s">
        <v>3439</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34">C106-$K34</f>
        <v>99.5</v>
      </c>
      <c r="E106" s="474">
        <f t="shared" si="34"/>
        <v>99</v>
      </c>
      <c r="F106" s="474">
        <f t="shared" si="34"/>
        <v>98.5</v>
      </c>
      <c r="G106" s="474">
        <f t="shared" si="34"/>
        <v>98</v>
      </c>
      <c r="H106" s="474">
        <f t="shared" si="34"/>
        <v>97.5</v>
      </c>
      <c r="I106" s="474">
        <f t="shared" si="34"/>
        <v>97</v>
      </c>
      <c r="J106" s="474">
        <f t="shared" si="34"/>
        <v>96.5</v>
      </c>
      <c r="K106" s="474">
        <f t="shared" si="34"/>
        <v>96</v>
      </c>
      <c r="L106" s="474">
        <f t="shared" si="34"/>
        <v>95.5</v>
      </c>
      <c r="M106" s="474">
        <f t="shared" si="34"/>
        <v>95</v>
      </c>
      <c r="N106" s="879"/>
      <c r="O106" s="879"/>
      <c r="P106" s="1770"/>
      <c r="Q106" s="438"/>
    </row>
    <row r="107" spans="1:17" ht="15" thickTop="1">
      <c r="A107" s="408"/>
      <c r="B107" s="3165" t="s">
        <v>3430</v>
      </c>
      <c r="C107" s="3160" t="s">
        <v>1719</v>
      </c>
      <c r="D107" s="3160" t="s">
        <v>1720</v>
      </c>
      <c r="E107" s="3160" t="s">
        <v>1721</v>
      </c>
      <c r="F107" s="3160" t="s">
        <v>1722</v>
      </c>
      <c r="G107" s="3160" t="s">
        <v>1723</v>
      </c>
      <c r="H107" s="512"/>
      <c r="I107" s="512"/>
      <c r="J107" s="512"/>
      <c r="K107" s="513"/>
      <c r="L107" s="514"/>
      <c r="M107" s="515"/>
      <c r="N107" s="878"/>
      <c r="O107" s="878"/>
      <c r="P107" s="1770"/>
      <c r="Q107" s="438"/>
    </row>
    <row r="108" spans="1:17" ht="15.75" thickBot="1">
      <c r="A108" s="366"/>
      <c r="B108" s="473"/>
      <c r="C108" s="474">
        <v>100</v>
      </c>
      <c r="D108" s="474">
        <f t="shared" ref="D108:M108" si="35">C108-$K35</f>
        <v>97</v>
      </c>
      <c r="E108" s="474">
        <f t="shared" si="35"/>
        <v>94</v>
      </c>
      <c r="F108" s="474">
        <f t="shared" si="35"/>
        <v>91</v>
      </c>
      <c r="G108" s="474">
        <f t="shared" si="35"/>
        <v>88</v>
      </c>
      <c r="H108" s="474">
        <f t="shared" si="35"/>
        <v>85</v>
      </c>
      <c r="I108" s="474">
        <f t="shared" si="35"/>
        <v>82</v>
      </c>
      <c r="J108" s="474">
        <f t="shared" si="35"/>
        <v>79</v>
      </c>
      <c r="K108" s="474">
        <f t="shared" si="35"/>
        <v>76</v>
      </c>
      <c r="L108" s="474">
        <f t="shared" si="35"/>
        <v>73</v>
      </c>
      <c r="M108" s="474">
        <f t="shared" si="35"/>
        <v>70</v>
      </c>
      <c r="N108" s="879"/>
      <c r="O108" s="879"/>
      <c r="P108" s="1770"/>
      <c r="Q108" s="438"/>
    </row>
    <row r="109" spans="1:17" ht="15" thickTop="1">
      <c r="A109" s="408"/>
      <c r="B109" s="468" t="s">
        <v>1737</v>
      </c>
      <c r="C109" s="3139" t="s">
        <v>3406</v>
      </c>
      <c r="D109" s="3139" t="s">
        <v>3402</v>
      </c>
      <c r="E109" s="3139" t="s">
        <v>3434</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36">C110-$K36</f>
        <v>100</v>
      </c>
      <c r="E110" s="474">
        <f t="shared" si="36"/>
        <v>100</v>
      </c>
      <c r="F110" s="474">
        <f t="shared" si="36"/>
        <v>100</v>
      </c>
      <c r="G110" s="474">
        <f t="shared" si="36"/>
        <v>100</v>
      </c>
      <c r="H110" s="474">
        <f t="shared" si="36"/>
        <v>100</v>
      </c>
      <c r="I110" s="474">
        <f t="shared" si="36"/>
        <v>100</v>
      </c>
      <c r="J110" s="474">
        <f t="shared" si="36"/>
        <v>100</v>
      </c>
      <c r="K110" s="474">
        <f t="shared" si="36"/>
        <v>100</v>
      </c>
      <c r="L110" s="474">
        <f t="shared" si="36"/>
        <v>100</v>
      </c>
      <c r="M110" s="474">
        <f t="shared" si="36"/>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0.9(含)-0(含)</v>
      </c>
      <c r="H111" s="508" t="str">
        <f>ROUND(H112,0)&amp;"(含)"&amp;"-"&amp;I112</f>
        <v>0(含)-1</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c r="I112" s="529">
        <f>K37</f>
        <v>1</v>
      </c>
      <c r="J112" s="530"/>
      <c r="K112" s="530"/>
      <c r="L112" s="531"/>
      <c r="M112" s="532"/>
      <c r="N112" s="880"/>
      <c r="O112" s="880"/>
      <c r="P112" s="1771"/>
      <c r="Q112" s="489"/>
    </row>
    <row r="113" spans="1:17" s="407" customFormat="1" ht="15.75" thickBot="1">
      <c r="A113" s="483"/>
      <c r="B113" s="473"/>
      <c r="C113" s="474">
        <f t="shared" ref="C113:E113" si="37">D113-$I$112</f>
        <v>96</v>
      </c>
      <c r="D113" s="474">
        <f t="shared" si="37"/>
        <v>97</v>
      </c>
      <c r="E113" s="474">
        <f t="shared" si="37"/>
        <v>98</v>
      </c>
      <c r="F113" s="474">
        <f>G113-$I$112</f>
        <v>99</v>
      </c>
      <c r="G113" s="511">
        <v>100</v>
      </c>
      <c r="H113" s="474"/>
      <c r="I113" s="511"/>
      <c r="J113" s="533"/>
      <c r="K113" s="533"/>
      <c r="L113" s="533"/>
      <c r="M113" s="534"/>
      <c r="N113" s="880"/>
      <c r="O113" s="880"/>
      <c r="P113" s="1771"/>
      <c r="Q113" s="489"/>
    </row>
    <row r="114" spans="1:17" ht="15" thickTop="1">
      <c r="A114" s="408"/>
      <c r="B114" s="468" t="s">
        <v>1738</v>
      </c>
      <c r="C114" s="3139" t="s">
        <v>3403</v>
      </c>
      <c r="D114" s="3139" t="s">
        <v>3425</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38">C115-$K38</f>
        <v>99</v>
      </c>
      <c r="E115" s="474">
        <f t="shared" si="38"/>
        <v>98</v>
      </c>
      <c r="F115" s="474">
        <f t="shared" si="38"/>
        <v>97</v>
      </c>
      <c r="G115" s="474">
        <f t="shared" si="38"/>
        <v>96</v>
      </c>
      <c r="H115" s="474">
        <f t="shared" si="38"/>
        <v>95</v>
      </c>
      <c r="I115" s="474">
        <f t="shared" si="38"/>
        <v>94</v>
      </c>
      <c r="J115" s="474">
        <f t="shared" si="38"/>
        <v>93</v>
      </c>
      <c r="K115" s="474">
        <f t="shared" si="38"/>
        <v>92</v>
      </c>
      <c r="L115" s="474">
        <f t="shared" si="38"/>
        <v>91</v>
      </c>
      <c r="M115" s="474">
        <f t="shared" si="38"/>
        <v>90</v>
      </c>
      <c r="N115" s="879"/>
      <c r="O115" s="879"/>
      <c r="P115" s="1770"/>
      <c r="Q115" s="438"/>
    </row>
    <row r="116" spans="1:17" ht="15" thickTop="1">
      <c r="A116" s="408"/>
      <c r="B116" s="468" t="s">
        <v>1739</v>
      </c>
      <c r="C116" s="3139" t="s">
        <v>3404</v>
      </c>
      <c r="D116" s="3139" t="s">
        <v>3405</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5" t="s">
        <v>3449</v>
      </c>
      <c r="D118" s="3145" t="s">
        <v>3451</v>
      </c>
      <c r="E118" s="3145" t="s">
        <v>3453</v>
      </c>
      <c r="F118" s="3145" t="s">
        <v>3454</v>
      </c>
      <c r="G118" s="512"/>
      <c r="H118" s="512"/>
      <c r="I118" s="512"/>
      <c r="J118" s="512"/>
      <c r="K118" s="513"/>
      <c r="L118" s="514"/>
      <c r="M118" s="515"/>
      <c r="N118" s="878"/>
      <c r="O118" s="878"/>
      <c r="P118" s="1770"/>
      <c r="Q118" s="438"/>
    </row>
    <row r="119" spans="1:17" ht="15.75" thickBot="1">
      <c r="A119" s="366"/>
      <c r="B119" s="473"/>
      <c r="C119" s="474">
        <v>100</v>
      </c>
      <c r="D119" s="474">
        <f t="shared" ref="D119:M119" si="39">C119-$K40</f>
        <v>98</v>
      </c>
      <c r="E119" s="474">
        <f t="shared" si="39"/>
        <v>96</v>
      </c>
      <c r="F119" s="474">
        <f t="shared" si="39"/>
        <v>94</v>
      </c>
      <c r="G119" s="474">
        <f t="shared" si="39"/>
        <v>92</v>
      </c>
      <c r="H119" s="474">
        <f t="shared" si="39"/>
        <v>90</v>
      </c>
      <c r="I119" s="474">
        <f t="shared" si="39"/>
        <v>88</v>
      </c>
      <c r="J119" s="474">
        <f t="shared" si="39"/>
        <v>86</v>
      </c>
      <c r="K119" s="474">
        <f t="shared" si="39"/>
        <v>84</v>
      </c>
      <c r="L119" s="474">
        <f t="shared" si="39"/>
        <v>82</v>
      </c>
      <c r="M119" s="474">
        <f t="shared" si="39"/>
        <v>80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39" t="s">
        <v>3406</v>
      </c>
      <c r="D122" s="3139" t="s">
        <v>3402</v>
      </c>
      <c r="E122" s="3139" t="s">
        <v>3434</v>
      </c>
      <c r="F122" s="3145" t="s">
        <v>3470</v>
      </c>
      <c r="G122" s="512"/>
      <c r="H122" s="512"/>
      <c r="I122" s="512"/>
      <c r="J122" s="512"/>
      <c r="K122" s="513"/>
      <c r="L122" s="514"/>
      <c r="M122" s="515"/>
      <c r="N122" s="878"/>
      <c r="O122" s="878"/>
      <c r="P122" s="1770"/>
      <c r="Q122" s="438"/>
    </row>
    <row r="123" spans="1:17" ht="15.75" thickBot="1">
      <c r="A123" s="366"/>
      <c r="B123" s="473"/>
      <c r="C123" s="474">
        <v>100</v>
      </c>
      <c r="D123" s="474">
        <f t="shared" ref="D123:M123" si="40">C123-$K42</f>
        <v>98.5</v>
      </c>
      <c r="E123" s="474">
        <f t="shared" si="40"/>
        <v>97</v>
      </c>
      <c r="F123" s="474">
        <f t="shared" si="40"/>
        <v>95.5</v>
      </c>
      <c r="G123" s="474">
        <f t="shared" si="40"/>
        <v>94</v>
      </c>
      <c r="H123" s="474">
        <f t="shared" si="40"/>
        <v>92.5</v>
      </c>
      <c r="I123" s="474">
        <f t="shared" si="40"/>
        <v>91</v>
      </c>
      <c r="J123" s="474">
        <f t="shared" si="40"/>
        <v>89.5</v>
      </c>
      <c r="K123" s="474">
        <f t="shared" si="40"/>
        <v>88</v>
      </c>
      <c r="L123" s="474">
        <f t="shared" si="40"/>
        <v>86.5</v>
      </c>
      <c r="M123" s="474">
        <f t="shared" si="40"/>
        <v>85</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设施设备情况</v>
      </c>
      <c r="C126" s="3182" t="s">
        <v>3473</v>
      </c>
      <c r="D126" s="3182" t="s">
        <v>3474</v>
      </c>
      <c r="E126" s="3182"/>
      <c r="F126" s="508"/>
      <c r="G126" s="508"/>
      <c r="H126" s="485"/>
      <c r="I126" s="485">
        <v>1</v>
      </c>
      <c r="J126" s="485"/>
      <c r="K126" s="485"/>
      <c r="L126" s="486"/>
      <c r="M126" s="487"/>
      <c r="N126" s="880"/>
      <c r="O126" s="880"/>
      <c r="P126" s="1771"/>
      <c r="Q126" s="489"/>
    </row>
    <row r="127" spans="1:17" s="407" customFormat="1" ht="15.75" thickBot="1">
      <c r="A127" s="483"/>
      <c r="B127" s="473"/>
      <c r="C127" s="466">
        <v>100</v>
      </c>
      <c r="D127" s="466">
        <f>C127-$I$126</f>
        <v>99</v>
      </c>
      <c r="E127" s="466">
        <f>D127-$I$126</f>
        <v>98</v>
      </c>
      <c r="F127" s="466">
        <f>E127-$I$126</f>
        <v>97</v>
      </c>
      <c r="G127" s="490">
        <v>101</v>
      </c>
      <c r="H127" s="492"/>
      <c r="I127" s="492"/>
      <c r="J127" s="492"/>
      <c r="K127" s="492"/>
      <c r="L127" s="492"/>
      <c r="M127" s="493"/>
      <c r="N127" s="880"/>
      <c r="O127" s="880"/>
      <c r="P127" s="1771"/>
      <c r="Q127" s="489"/>
    </row>
    <row r="128" spans="1:17" ht="15" thickTop="1">
      <c r="A128" s="408"/>
      <c r="B128" s="468">
        <f>B45</f>
        <v>0</v>
      </c>
      <c r="C128" s="484">
        <v>2009</v>
      </c>
      <c r="D128" s="484">
        <v>2008</v>
      </c>
      <c r="E128" s="484">
        <v>2007</v>
      </c>
      <c r="F128" s="484">
        <v>2006</v>
      </c>
      <c r="G128" s="512">
        <v>2001</v>
      </c>
      <c r="H128" s="512"/>
      <c r="I128" s="3180">
        <f>K37</f>
        <v>1</v>
      </c>
      <c r="J128" s="512"/>
      <c r="K128" s="513"/>
      <c r="L128" s="514"/>
      <c r="M128" s="515"/>
      <c r="N128" s="878"/>
      <c r="O128" s="878"/>
      <c r="P128" s="1770"/>
      <c r="Q128" s="438"/>
    </row>
    <row r="129" spans="1:17" ht="15.75" thickBot="1">
      <c r="A129" s="366"/>
      <c r="B129" s="473"/>
      <c r="C129" s="490">
        <f t="shared" ref="C129:D129" si="41">D129+$I$128</f>
        <v>103</v>
      </c>
      <c r="D129" s="490">
        <f t="shared" si="41"/>
        <v>102</v>
      </c>
      <c r="E129" s="490">
        <f>F129+$I$128</f>
        <v>101</v>
      </c>
      <c r="F129" s="490">
        <v>100</v>
      </c>
      <c r="G129" s="490">
        <f t="shared" ref="G129" si="42">F129-$I$128</f>
        <v>99</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2" priority="16" stopIfTrue="1">
      <formula>$F$52="超过30%"</formula>
    </cfRule>
  </conditionalFormatting>
  <conditionalFormatting sqref="E53">
    <cfRule type="expression" dxfId="111" priority="13" stopIfTrue="1">
      <formula>$F$53="超过20%"</formula>
    </cfRule>
  </conditionalFormatting>
  <conditionalFormatting sqref="E54">
    <cfRule type="expression" dxfId="110" priority="12" stopIfTrue="1">
      <formula>$F$54="超过30%"</formula>
    </cfRule>
  </conditionalFormatting>
  <conditionalFormatting sqref="F7:F46 H7:H46">
    <cfRule type="cellIs" dxfId="109" priority="2" operator="notEqual">
      <formula>100</formula>
    </cfRule>
  </conditionalFormatting>
  <conditionalFormatting sqref="F52:F54 H52:H54 J52:J54">
    <cfRule type="containsText" dxfId="108" priority="17" stopIfTrue="1" operator="containsText" text="超过">
      <formula>NOT(ISERROR(SEARCH("超过",F52)))</formula>
    </cfRule>
  </conditionalFormatting>
  <conditionalFormatting sqref="G52">
    <cfRule type="expression" dxfId="107" priority="11" stopIfTrue="1">
      <formula>$H$52="超过30%"</formula>
    </cfRule>
  </conditionalFormatting>
  <conditionalFormatting sqref="G53">
    <cfRule type="expression" dxfId="106" priority="10" stopIfTrue="1">
      <formula>$H$53="超过20%"</formula>
    </cfRule>
  </conditionalFormatting>
  <conditionalFormatting sqref="G54">
    <cfRule type="expression" dxfId="105" priority="14" stopIfTrue="1">
      <formula>$H$54="超过30%"</formula>
    </cfRule>
  </conditionalFormatting>
  <conditionalFormatting sqref="I52">
    <cfRule type="expression" dxfId="104" priority="9" stopIfTrue="1">
      <formula>$J$52="超过30%"</formula>
    </cfRule>
  </conditionalFormatting>
  <conditionalFormatting sqref="I53">
    <cfRule type="expression" dxfId="103" priority="8" stopIfTrue="1">
      <formula>$J$53="超过20%"</formula>
    </cfRule>
  </conditionalFormatting>
  <conditionalFormatting sqref="I54">
    <cfRule type="expression" dxfId="102" priority="7" stopIfTrue="1">
      <formula>$J$54="超过30%"</formula>
    </cfRule>
  </conditionalFormatting>
  <conditionalFormatting sqref="J7:J46">
    <cfRule type="cellIs" dxfId="101"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G32 E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E42 G42 C36 I42 G36 I36" xr:uid="{00000000-0002-0000-1800-00000C000000}">
      <formula1>住宅内部装修</formula1>
    </dataValidation>
    <dataValidation type="list" allowBlank="1" showInputMessage="1" showErrorMessage="1" sqref="E43 C43 G43 I43"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54242.66</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49" t="s">
        <v>1767</v>
      </c>
      <c r="D4" s="3450"/>
      <c r="E4" s="3451" t="s">
        <v>1768</v>
      </c>
      <c r="F4" s="3452"/>
      <c r="G4" s="3449" t="s">
        <v>1769</v>
      </c>
      <c r="H4" s="3450"/>
      <c r="I4" s="3449" t="s">
        <v>1770</v>
      </c>
      <c r="J4" s="3450"/>
      <c r="K4" s="536" t="s">
        <v>1771</v>
      </c>
      <c r="L4" s="2481"/>
      <c r="M4" s="2482"/>
      <c r="N4" s="2482"/>
      <c r="O4" s="2482"/>
      <c r="P4" s="3453" t="s">
        <v>1772</v>
      </c>
      <c r="Q4" s="3454"/>
      <c r="R4" s="3459" t="s">
        <v>1768</v>
      </c>
      <c r="S4" s="3460"/>
      <c r="T4" s="3459" t="s">
        <v>1769</v>
      </c>
      <c r="U4" s="3460"/>
      <c r="V4" s="3435" t="s">
        <v>1770</v>
      </c>
      <c r="W4" s="3435"/>
      <c r="X4" s="1263"/>
      <c r="Y4" s="3459" t="s">
        <v>1772</v>
      </c>
      <c r="Z4" s="3460"/>
      <c r="AA4" s="3446" t="s">
        <v>1768</v>
      </c>
      <c r="AB4" s="3435" t="s">
        <v>1769</v>
      </c>
      <c r="AC4" s="3446" t="s">
        <v>1770</v>
      </c>
    </row>
    <row r="5" spans="1:29" ht="15">
      <c r="A5" s="347"/>
      <c r="B5" s="348"/>
      <c r="C5" s="3478" t="s">
        <v>1673</v>
      </c>
      <c r="D5" s="3473"/>
      <c r="E5" s="3479" t="s">
        <v>1674</v>
      </c>
      <c r="F5" s="3477"/>
      <c r="G5" s="3478" t="s">
        <v>1675</v>
      </c>
      <c r="H5" s="3473"/>
      <c r="I5" s="3478" t="s">
        <v>1676</v>
      </c>
      <c r="J5" s="3473"/>
      <c r="K5" s="536"/>
      <c r="L5" s="2481"/>
      <c r="M5" s="2482"/>
      <c r="N5" s="2482"/>
      <c r="O5" s="2482"/>
      <c r="P5" s="3455"/>
      <c r="Q5" s="3456"/>
      <c r="R5" s="3461"/>
      <c r="S5" s="3462"/>
      <c r="T5" s="3461"/>
      <c r="U5" s="3462"/>
      <c r="V5" s="3435"/>
      <c r="W5" s="3435"/>
      <c r="X5" s="1263"/>
      <c r="Y5" s="3461"/>
      <c r="Z5" s="3462"/>
      <c r="AA5" s="3447"/>
      <c r="AB5" s="3435"/>
      <c r="AC5" s="3447"/>
    </row>
    <row r="6" spans="1:29" ht="15.75" thickBot="1">
      <c r="A6" s="349"/>
      <c r="B6" s="350"/>
      <c r="C6" s="3465" t="s">
        <v>1677</v>
      </c>
      <c r="D6" s="3466"/>
      <c r="E6" s="3474" t="s">
        <v>1677</v>
      </c>
      <c r="F6" s="3475"/>
      <c r="G6" s="3465" t="s">
        <v>1677</v>
      </c>
      <c r="H6" s="3466"/>
      <c r="I6" s="3465" t="s">
        <v>1677</v>
      </c>
      <c r="J6" s="3466"/>
      <c r="K6" s="536" t="s">
        <v>1678</v>
      </c>
      <c r="L6" s="2481"/>
      <c r="M6" s="2482"/>
      <c r="N6" s="2482"/>
      <c r="O6" s="2482"/>
      <c r="P6" s="3457"/>
      <c r="Q6" s="3458"/>
      <c r="R6" s="3461"/>
      <c r="S6" s="3462"/>
      <c r="T6" s="3463"/>
      <c r="U6" s="3464"/>
      <c r="V6" s="3435"/>
      <c r="W6" s="3435"/>
      <c r="X6" s="1263"/>
      <c r="Y6" s="3463"/>
      <c r="Z6" s="3464"/>
      <c r="AA6" s="3448"/>
      <c r="AB6" s="3435"/>
      <c r="AC6" s="3448"/>
    </row>
    <row r="7" spans="1:29" s="101" customFormat="1" ht="15.75" thickBot="1">
      <c r="A7" s="351" t="s">
        <v>1679</v>
      </c>
      <c r="B7" s="352"/>
      <c r="C7" s="353">
        <f>'数据-取费表'!B2</f>
        <v>45652</v>
      </c>
      <c r="D7" s="354">
        <v>100</v>
      </c>
      <c r="E7" s="355"/>
      <c r="F7" s="356">
        <f>SUMIF(58:58,YEAR(E7)&amp;"-"&amp;MONTH(E7),59:59)</f>
        <v>0</v>
      </c>
      <c r="G7" s="355"/>
      <c r="H7" s="354">
        <f>SUMIF(58:58,YEAR(G7)&amp;"-"&amp;MONTH(G7),59:59)</f>
        <v>0</v>
      </c>
      <c r="I7" s="355"/>
      <c r="J7" s="354">
        <f>SUMIF(58:58,YEAR(I7)&amp;"-"&amp;MONTH(I7),59:59)</f>
        <v>0</v>
      </c>
      <c r="K7" s="38"/>
      <c r="L7" s="2483"/>
      <c r="M7" s="2434"/>
      <c r="N7" s="2434"/>
      <c r="O7" s="2434"/>
      <c r="P7" s="3469" t="s">
        <v>1680</v>
      </c>
      <c r="Q7" s="3471"/>
      <c r="R7" s="663" t="s">
        <v>14</v>
      </c>
      <c r="S7" s="664">
        <f t="shared" ref="S7:S15" si="0">F7</f>
        <v>0</v>
      </c>
      <c r="T7" s="663" t="s">
        <v>14</v>
      </c>
      <c r="U7" s="664">
        <f t="shared" ref="U7:U15" si="1">H7</f>
        <v>0</v>
      </c>
      <c r="V7" s="663" t="s">
        <v>14</v>
      </c>
      <c r="W7" s="664">
        <f t="shared" ref="W7:W15" si="2">J7</f>
        <v>0</v>
      </c>
      <c r="X7" s="665"/>
      <c r="Y7" s="3469" t="s">
        <v>1680</v>
      </c>
      <c r="Z7" s="3470"/>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69" t="s">
        <v>1683</v>
      </c>
      <c r="Q8" s="3470"/>
      <c r="R8" s="663" t="s">
        <v>14</v>
      </c>
      <c r="S8" s="664">
        <f t="shared" si="0"/>
        <v>100</v>
      </c>
      <c r="T8" s="663" t="s">
        <v>14</v>
      </c>
      <c r="U8" s="664">
        <f t="shared" si="1"/>
        <v>100</v>
      </c>
      <c r="V8" s="663" t="s">
        <v>14</v>
      </c>
      <c r="W8" s="664">
        <f t="shared" si="2"/>
        <v>100</v>
      </c>
      <c r="X8" s="665"/>
      <c r="Y8" s="3469" t="s">
        <v>1683</v>
      </c>
      <c r="Z8" s="3470"/>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45" t="s">
        <v>1686</v>
      </c>
      <c r="Q9" s="529" t="str">
        <f t="shared" ref="Q9:Q15" si="6">B9</f>
        <v>用途</v>
      </c>
      <c r="R9" s="663" t="s">
        <v>14</v>
      </c>
      <c r="S9" s="664">
        <f t="shared" si="0"/>
        <v>100</v>
      </c>
      <c r="T9" s="663" t="s">
        <v>14</v>
      </c>
      <c r="U9" s="664">
        <f t="shared" si="1"/>
        <v>100</v>
      </c>
      <c r="V9" s="663" t="s">
        <v>14</v>
      </c>
      <c r="W9" s="664">
        <f t="shared" si="2"/>
        <v>100</v>
      </c>
      <c r="X9" s="665"/>
      <c r="Y9" s="3309"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45"/>
      <c r="Q10" s="529" t="str">
        <f t="shared" si="6"/>
        <v>土地使用年限（年）</v>
      </c>
      <c r="R10" s="663" t="s">
        <v>14</v>
      </c>
      <c r="S10" s="664">
        <f t="shared" si="0"/>
        <v>100</v>
      </c>
      <c r="T10" s="663" t="s">
        <v>14</v>
      </c>
      <c r="U10" s="664">
        <f t="shared" si="1"/>
        <v>100</v>
      </c>
      <c r="V10" s="663" t="s">
        <v>14</v>
      </c>
      <c r="W10" s="664">
        <f t="shared" si="2"/>
        <v>100</v>
      </c>
      <c r="X10" s="665"/>
      <c r="Y10" s="330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45"/>
      <c r="Q11" s="529" t="str">
        <f t="shared" si="6"/>
        <v>容积率</v>
      </c>
      <c r="R11" s="663" t="s">
        <v>14</v>
      </c>
      <c r="S11" s="664" t="e">
        <f t="shared" si="0"/>
        <v>#N/A</v>
      </c>
      <c r="T11" s="663" t="s">
        <v>14</v>
      </c>
      <c r="U11" s="664" t="e">
        <f t="shared" si="1"/>
        <v>#N/A</v>
      </c>
      <c r="V11" s="663" t="s">
        <v>14</v>
      </c>
      <c r="W11" s="664" t="e">
        <f t="shared" si="2"/>
        <v>#N/A</v>
      </c>
      <c r="X11" s="665"/>
      <c r="Y11" s="3309"/>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45"/>
      <c r="Q12" s="529">
        <f t="shared" si="6"/>
        <v>111</v>
      </c>
      <c r="R12" s="663" t="s">
        <v>14</v>
      </c>
      <c r="S12" s="664">
        <f t="shared" si="0"/>
        <v>100</v>
      </c>
      <c r="T12" s="663" t="s">
        <v>14</v>
      </c>
      <c r="U12" s="664">
        <f t="shared" si="1"/>
        <v>100</v>
      </c>
      <c r="V12" s="663" t="s">
        <v>14</v>
      </c>
      <c r="W12" s="664">
        <f t="shared" si="2"/>
        <v>100</v>
      </c>
      <c r="X12" s="665"/>
      <c r="Y12" s="330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45"/>
      <c r="Q13" s="529">
        <f t="shared" si="6"/>
        <v>111</v>
      </c>
      <c r="R13" s="663" t="s">
        <v>14</v>
      </c>
      <c r="S13" s="664">
        <f t="shared" si="0"/>
        <v>100</v>
      </c>
      <c r="T13" s="663" t="s">
        <v>14</v>
      </c>
      <c r="U13" s="664">
        <f t="shared" si="1"/>
        <v>100</v>
      </c>
      <c r="V13" s="663" t="s">
        <v>14</v>
      </c>
      <c r="W13" s="664">
        <f t="shared" si="2"/>
        <v>100</v>
      </c>
      <c r="X13" s="665"/>
      <c r="Y13" s="3309"/>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45"/>
      <c r="Q14" s="529">
        <f t="shared" si="6"/>
        <v>111</v>
      </c>
      <c r="R14" s="663" t="s">
        <v>14</v>
      </c>
      <c r="S14" s="664">
        <f t="shared" si="0"/>
        <v>100</v>
      </c>
      <c r="T14" s="663" t="s">
        <v>14</v>
      </c>
      <c r="U14" s="664">
        <f t="shared" si="1"/>
        <v>100</v>
      </c>
      <c r="V14" s="663" t="s">
        <v>14</v>
      </c>
      <c r="W14" s="664">
        <f t="shared" si="2"/>
        <v>100</v>
      </c>
      <c r="X14" s="665"/>
      <c r="Y14" s="3309"/>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43" t="s">
        <v>1691</v>
      </c>
      <c r="Q15" s="1261" t="str">
        <f t="shared" si="6"/>
        <v>商业繁华度</v>
      </c>
      <c r="R15" s="666" t="s">
        <v>14</v>
      </c>
      <c r="S15" s="667">
        <f t="shared" si="0"/>
        <v>100</v>
      </c>
      <c r="T15" s="666" t="s">
        <v>14</v>
      </c>
      <c r="U15" s="667">
        <f t="shared" si="1"/>
        <v>100</v>
      </c>
      <c r="V15" s="666" t="s">
        <v>14</v>
      </c>
      <c r="W15" s="667">
        <f t="shared" si="2"/>
        <v>100</v>
      </c>
      <c r="X15" s="1263"/>
      <c r="Y15" s="3436"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44"/>
      <c r="Q16" s="1261"/>
      <c r="R16" s="666"/>
      <c r="S16" s="667"/>
      <c r="T16" s="666"/>
      <c r="U16" s="667"/>
      <c r="V16" s="666"/>
      <c r="W16" s="667"/>
      <c r="X16" s="1263"/>
      <c r="Y16" s="3437"/>
      <c r="Z16" s="1262"/>
      <c r="AA16" s="1262">
        <v>1</v>
      </c>
      <c r="AB16" s="1262">
        <v>1</v>
      </c>
      <c r="AC16" s="1262">
        <v>1</v>
      </c>
    </row>
    <row r="17" spans="1:29" ht="99.75">
      <c r="A17" s="366"/>
      <c r="B17" s="389" t="s">
        <v>1259</v>
      </c>
      <c r="C17" s="1751" t="str">
        <f>估价对象房地状况!C6</f>
        <v>周边有537路、643路、905路等多条公交线路，紧邻城市支路——爱博路，综合评价交通便捷度一般</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44"/>
      <c r="Q17" s="1261" t="str">
        <f>B17</f>
        <v>交通便捷度</v>
      </c>
      <c r="R17" s="666" t="s">
        <v>14</v>
      </c>
      <c r="S17" s="667">
        <f>F17</f>
        <v>100</v>
      </c>
      <c r="T17" s="666" t="s">
        <v>14</v>
      </c>
      <c r="U17" s="667">
        <f>H17</f>
        <v>100</v>
      </c>
      <c r="V17" s="666" t="s">
        <v>14</v>
      </c>
      <c r="W17" s="667">
        <f>J17</f>
        <v>100</v>
      </c>
      <c r="X17" s="1263"/>
      <c r="Y17" s="3437"/>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44"/>
      <c r="Q18" s="1261"/>
      <c r="R18" s="666"/>
      <c r="S18" s="667"/>
      <c r="T18" s="666"/>
      <c r="U18" s="667"/>
      <c r="V18" s="666"/>
      <c r="W18" s="667"/>
      <c r="X18" s="1263"/>
      <c r="Y18" s="3437"/>
      <c r="Z18" s="1262"/>
      <c r="AA18" s="1262">
        <v>1</v>
      </c>
      <c r="AB18" s="1262">
        <v>1</v>
      </c>
      <c r="AC18" s="1262">
        <v>1</v>
      </c>
    </row>
    <row r="19" spans="1:29" ht="199.5">
      <c r="A19" s="366"/>
      <c r="B19" s="389" t="s">
        <v>1775</v>
      </c>
      <c r="C19" s="1751"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44"/>
      <c r="Q19" s="1261" t="str">
        <f>B19</f>
        <v>公共配套设施</v>
      </c>
      <c r="R19" s="666" t="s">
        <v>14</v>
      </c>
      <c r="S19" s="667">
        <f>F19</f>
        <v>100</v>
      </c>
      <c r="T19" s="666" t="s">
        <v>14</v>
      </c>
      <c r="U19" s="667">
        <f>H19</f>
        <v>100</v>
      </c>
      <c r="V19" s="666" t="s">
        <v>14</v>
      </c>
      <c r="W19" s="667">
        <f>J19</f>
        <v>100</v>
      </c>
      <c r="X19" s="1263"/>
      <c r="Y19" s="3437"/>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44"/>
      <c r="Q20" s="1261"/>
      <c r="R20" s="666"/>
      <c r="S20" s="667"/>
      <c r="T20" s="666"/>
      <c r="U20" s="667"/>
      <c r="V20" s="666"/>
      <c r="W20" s="667"/>
      <c r="X20" s="1263"/>
      <c r="Y20" s="3437"/>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44"/>
      <c r="Q21" s="1261" t="str">
        <f>B21</f>
        <v>基础设施水平</v>
      </c>
      <c r="R21" s="666" t="s">
        <v>14</v>
      </c>
      <c r="S21" s="667">
        <f>F21</f>
        <v>100</v>
      </c>
      <c r="T21" s="666" t="s">
        <v>14</v>
      </c>
      <c r="U21" s="667">
        <f>H21</f>
        <v>100</v>
      </c>
      <c r="V21" s="666" t="s">
        <v>14</v>
      </c>
      <c r="W21" s="667">
        <f>J21</f>
        <v>100</v>
      </c>
      <c r="X21" s="1263"/>
      <c r="Y21" s="3437"/>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44"/>
      <c r="Q22" s="1261"/>
      <c r="R22" s="666"/>
      <c r="S22" s="667"/>
      <c r="T22" s="666"/>
      <c r="U22" s="667"/>
      <c r="V22" s="666"/>
      <c r="W22" s="667"/>
      <c r="X22" s="1263"/>
      <c r="Y22" s="3437"/>
      <c r="Z22" s="1262"/>
      <c r="AA22" s="1262">
        <v>1</v>
      </c>
      <c r="AB22" s="1262">
        <v>1</v>
      </c>
      <c r="AC22" s="1262">
        <v>1</v>
      </c>
    </row>
    <row r="23" spans="1:29" ht="71.25">
      <c r="A23" s="366"/>
      <c r="B23" s="389" t="s">
        <v>1261</v>
      </c>
      <c r="C23" s="1801" t="str">
        <f>估价对象房地状况!C9</f>
        <v>自然环境：温榆河水系等自然及人文景观；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44"/>
      <c r="Q23" s="1261" t="str">
        <f>B23</f>
        <v>自然及人文环境</v>
      </c>
      <c r="R23" s="666" t="s">
        <v>14</v>
      </c>
      <c r="S23" s="667">
        <f>F23</f>
        <v>100</v>
      </c>
      <c r="T23" s="666" t="s">
        <v>14</v>
      </c>
      <c r="U23" s="667">
        <f>H23</f>
        <v>100</v>
      </c>
      <c r="V23" s="666" t="s">
        <v>14</v>
      </c>
      <c r="W23" s="667">
        <f>J23</f>
        <v>100</v>
      </c>
      <c r="X23" s="1263"/>
      <c r="Y23" s="3437"/>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44"/>
      <c r="Q24" s="1261"/>
      <c r="R24" s="666"/>
      <c r="S24" s="667"/>
      <c r="T24" s="666"/>
      <c r="U24" s="667"/>
      <c r="V24" s="666"/>
      <c r="W24" s="667"/>
      <c r="X24" s="1263"/>
      <c r="Y24" s="3437"/>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44"/>
      <c r="Q25" s="1261" t="str">
        <f t="shared" ref="Q25:Q46" si="8">B25</f>
        <v>临街状况</v>
      </c>
      <c r="R25" s="666" t="s">
        <v>14</v>
      </c>
      <c r="S25" s="667">
        <f>F25</f>
        <v>100</v>
      </c>
      <c r="T25" s="666" t="s">
        <v>14</v>
      </c>
      <c r="U25" s="667">
        <f>H25</f>
        <v>100</v>
      </c>
      <c r="V25" s="666" t="s">
        <v>14</v>
      </c>
      <c r="W25" s="667">
        <f>J25</f>
        <v>100</v>
      </c>
      <c r="X25" s="1263"/>
      <c r="Y25" s="3437"/>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44"/>
      <c r="Q26" s="1261" t="str">
        <f t="shared" si="8"/>
        <v>平面位置/可视性</v>
      </c>
      <c r="R26" s="666" t="s">
        <v>14</v>
      </c>
      <c r="S26" s="667">
        <f>F26</f>
        <v>100</v>
      </c>
      <c r="T26" s="666" t="s">
        <v>14</v>
      </c>
      <c r="U26" s="667">
        <f>H26</f>
        <v>100</v>
      </c>
      <c r="V26" s="666" t="s">
        <v>14</v>
      </c>
      <c r="W26" s="667">
        <f>J26</f>
        <v>100</v>
      </c>
      <c r="X26" s="1263"/>
      <c r="Y26" s="3437"/>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44"/>
      <c r="Q27" s="529" t="str">
        <f t="shared" si="8"/>
        <v>人流量</v>
      </c>
      <c r="R27" s="663" t="s">
        <v>14</v>
      </c>
      <c r="S27" s="664">
        <f>F27</f>
        <v>100</v>
      </c>
      <c r="T27" s="663" t="s">
        <v>14</v>
      </c>
      <c r="U27" s="664">
        <f>H27</f>
        <v>100</v>
      </c>
      <c r="V27" s="663" t="s">
        <v>14</v>
      </c>
      <c r="W27" s="664">
        <f>J27</f>
        <v>100</v>
      </c>
      <c r="X27" s="665"/>
      <c r="Y27" s="3437"/>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44"/>
      <c r="Q28" s="1261" t="str">
        <f t="shared" si="8"/>
        <v>楼层</v>
      </c>
      <c r="R28" s="666" t="s">
        <v>14</v>
      </c>
      <c r="S28" s="667">
        <f t="shared" ref="S28:S46" si="9">F28</f>
        <v>100</v>
      </c>
      <c r="T28" s="666" t="s">
        <v>14</v>
      </c>
      <c r="U28" s="667">
        <f t="shared" ref="U28:U46" si="10">H28</f>
        <v>100</v>
      </c>
      <c r="V28" s="666" t="s">
        <v>14</v>
      </c>
      <c r="W28" s="667">
        <f t="shared" ref="W28:W46" si="11">J28</f>
        <v>100</v>
      </c>
      <c r="X28" s="1263"/>
      <c r="Y28" s="3437"/>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44"/>
      <c r="Q29" s="1261">
        <f t="shared" si="8"/>
        <v>111</v>
      </c>
      <c r="R29" s="666" t="s">
        <v>14</v>
      </c>
      <c r="S29" s="667">
        <f t="shared" si="9"/>
        <v>100</v>
      </c>
      <c r="T29" s="666" t="s">
        <v>14</v>
      </c>
      <c r="U29" s="667">
        <f t="shared" si="10"/>
        <v>100</v>
      </c>
      <c r="V29" s="666" t="s">
        <v>14</v>
      </c>
      <c r="W29" s="667">
        <f t="shared" si="11"/>
        <v>100</v>
      </c>
      <c r="X29" s="1263"/>
      <c r="Y29" s="3437"/>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44"/>
      <c r="Q30" s="1261">
        <f t="shared" si="8"/>
        <v>111</v>
      </c>
      <c r="R30" s="666" t="s">
        <v>14</v>
      </c>
      <c r="S30" s="667">
        <f t="shared" si="9"/>
        <v>100</v>
      </c>
      <c r="T30" s="666" t="s">
        <v>14</v>
      </c>
      <c r="U30" s="667">
        <f t="shared" si="10"/>
        <v>100</v>
      </c>
      <c r="V30" s="666" t="s">
        <v>14</v>
      </c>
      <c r="W30" s="667">
        <f t="shared" si="11"/>
        <v>100</v>
      </c>
      <c r="X30" s="1263"/>
      <c r="Y30" s="3437"/>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44"/>
      <c r="Q31" s="1261">
        <f t="shared" si="8"/>
        <v>111</v>
      </c>
      <c r="R31" s="666" t="s">
        <v>14</v>
      </c>
      <c r="S31" s="667">
        <f t="shared" si="9"/>
        <v>100</v>
      </c>
      <c r="T31" s="666" t="s">
        <v>14</v>
      </c>
      <c r="U31" s="667">
        <f t="shared" si="10"/>
        <v>100</v>
      </c>
      <c r="V31" s="666" t="s">
        <v>14</v>
      </c>
      <c r="W31" s="667">
        <f t="shared" si="11"/>
        <v>100</v>
      </c>
      <c r="X31" s="1263"/>
      <c r="Y31" s="3437"/>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38" t="s">
        <v>1696</v>
      </c>
      <c r="Q32" s="1261" t="str">
        <f t="shared" si="8"/>
        <v>商业类型</v>
      </c>
      <c r="R32" s="666" t="s">
        <v>14</v>
      </c>
      <c r="S32" s="667">
        <f t="shared" si="9"/>
        <v>100</v>
      </c>
      <c r="T32" s="666" t="s">
        <v>14</v>
      </c>
      <c r="U32" s="667">
        <f t="shared" si="10"/>
        <v>100</v>
      </c>
      <c r="V32" s="666" t="s">
        <v>14</v>
      </c>
      <c r="W32" s="667">
        <f t="shared" si="11"/>
        <v>100</v>
      </c>
      <c r="X32" s="1263"/>
      <c r="Y32" s="3441"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39"/>
      <c r="Q33" s="530" t="str">
        <f t="shared" si="8"/>
        <v>项目建筑规模</v>
      </c>
      <c r="R33" s="668" t="s">
        <v>14</v>
      </c>
      <c r="S33" s="669" t="e">
        <f t="shared" si="9"/>
        <v>#N/A</v>
      </c>
      <c r="T33" s="668" t="s">
        <v>14</v>
      </c>
      <c r="U33" s="669" t="e">
        <f t="shared" si="10"/>
        <v>#N/A</v>
      </c>
      <c r="V33" s="668" t="s">
        <v>14</v>
      </c>
      <c r="W33" s="669" t="e">
        <f t="shared" si="11"/>
        <v>#N/A</v>
      </c>
      <c r="X33" s="670"/>
      <c r="Y33" s="3441"/>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39"/>
      <c r="Q34" s="1261" t="str">
        <f t="shared" si="8"/>
        <v>建筑结构</v>
      </c>
      <c r="R34" s="666" t="s">
        <v>14</v>
      </c>
      <c r="S34" s="667">
        <f t="shared" si="9"/>
        <v>100</v>
      </c>
      <c r="T34" s="666" t="s">
        <v>14</v>
      </c>
      <c r="U34" s="667">
        <f t="shared" si="10"/>
        <v>100</v>
      </c>
      <c r="V34" s="666" t="s">
        <v>14</v>
      </c>
      <c r="W34" s="667">
        <f t="shared" si="11"/>
        <v>100</v>
      </c>
      <c r="X34" s="1263"/>
      <c r="Y34" s="3441"/>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39"/>
      <c r="Q35" s="1261" t="str">
        <f t="shared" si="8"/>
        <v>公共部分装修</v>
      </c>
      <c r="R35" s="666" t="s">
        <v>14</v>
      </c>
      <c r="S35" s="667">
        <f t="shared" si="9"/>
        <v>100</v>
      </c>
      <c r="T35" s="666" t="s">
        <v>14</v>
      </c>
      <c r="U35" s="667">
        <f t="shared" si="10"/>
        <v>100</v>
      </c>
      <c r="V35" s="666" t="s">
        <v>14</v>
      </c>
      <c r="W35" s="667">
        <f t="shared" si="11"/>
        <v>100</v>
      </c>
      <c r="X35" s="1263"/>
      <c r="Y35" s="3441"/>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39"/>
      <c r="Q36" s="1261" t="str">
        <f t="shared" si="8"/>
        <v>成新度</v>
      </c>
      <c r="R36" s="666" t="s">
        <v>14</v>
      </c>
      <c r="S36" s="667" t="e">
        <f t="shared" si="9"/>
        <v>#N/A</v>
      </c>
      <c r="T36" s="666" t="s">
        <v>14</v>
      </c>
      <c r="U36" s="667" t="e">
        <f t="shared" si="10"/>
        <v>#N/A</v>
      </c>
      <c r="V36" s="666" t="s">
        <v>14</v>
      </c>
      <c r="W36" s="667" t="e">
        <f t="shared" si="11"/>
        <v>#N/A</v>
      </c>
      <c r="X36" s="1263"/>
      <c r="Y36" s="3441"/>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39"/>
      <c r="Q37" s="529" t="str">
        <f t="shared" si="8"/>
        <v>市政基础设施</v>
      </c>
      <c r="R37" s="663" t="s">
        <v>14</v>
      </c>
      <c r="S37" s="664">
        <f t="shared" si="9"/>
        <v>100</v>
      </c>
      <c r="T37" s="663" t="s">
        <v>14</v>
      </c>
      <c r="U37" s="664">
        <f t="shared" si="10"/>
        <v>100</v>
      </c>
      <c r="V37" s="663" t="s">
        <v>14</v>
      </c>
      <c r="W37" s="664">
        <f t="shared" si="11"/>
        <v>100</v>
      </c>
      <c r="X37" s="665"/>
      <c r="Y37" s="3441"/>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39" t="s">
        <v>1696</v>
      </c>
      <c r="Q38" s="1261" t="str">
        <f t="shared" si="8"/>
        <v>业态</v>
      </c>
      <c r="R38" s="666" t="s">
        <v>14</v>
      </c>
      <c r="S38" s="667">
        <f t="shared" si="9"/>
        <v>100</v>
      </c>
      <c r="T38" s="666" t="s">
        <v>14</v>
      </c>
      <c r="U38" s="667">
        <f t="shared" si="10"/>
        <v>100</v>
      </c>
      <c r="V38" s="666" t="s">
        <v>14</v>
      </c>
      <c r="W38" s="667">
        <f t="shared" si="11"/>
        <v>100</v>
      </c>
      <c r="X38" s="1263"/>
      <c r="Y38" s="3441"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39"/>
      <c r="Q39" s="1261" t="str">
        <f t="shared" si="8"/>
        <v>层高</v>
      </c>
      <c r="R39" s="666" t="s">
        <v>14</v>
      </c>
      <c r="S39" s="667">
        <f t="shared" si="9"/>
        <v>100</v>
      </c>
      <c r="T39" s="666" t="s">
        <v>14</v>
      </c>
      <c r="U39" s="667">
        <f t="shared" si="10"/>
        <v>100</v>
      </c>
      <c r="V39" s="666" t="s">
        <v>14</v>
      </c>
      <c r="W39" s="667">
        <f t="shared" si="11"/>
        <v>100</v>
      </c>
      <c r="X39" s="1263"/>
      <c r="Y39" s="3441"/>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39"/>
      <c r="Q40" s="1261" t="str">
        <f t="shared" si="8"/>
        <v>单套建筑面积</v>
      </c>
      <c r="R40" s="666" t="s">
        <v>14</v>
      </c>
      <c r="S40" s="667">
        <f t="shared" si="9"/>
        <v>100</v>
      </c>
      <c r="T40" s="666" t="s">
        <v>14</v>
      </c>
      <c r="U40" s="667">
        <f t="shared" si="10"/>
        <v>100</v>
      </c>
      <c r="V40" s="666" t="s">
        <v>14</v>
      </c>
      <c r="W40" s="667">
        <f t="shared" si="11"/>
        <v>100</v>
      </c>
      <c r="X40" s="1263"/>
      <c r="Y40" s="3441"/>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39"/>
      <c r="Q41" s="530" t="str">
        <f t="shared" si="8"/>
        <v>进深比</v>
      </c>
      <c r="R41" s="668" t="s">
        <v>14</v>
      </c>
      <c r="S41" s="669">
        <f t="shared" si="9"/>
        <v>100</v>
      </c>
      <c r="T41" s="668" t="s">
        <v>14</v>
      </c>
      <c r="U41" s="669">
        <f t="shared" si="10"/>
        <v>100</v>
      </c>
      <c r="V41" s="668" t="s">
        <v>14</v>
      </c>
      <c r="W41" s="669">
        <f t="shared" si="11"/>
        <v>100</v>
      </c>
      <c r="X41" s="670"/>
      <c r="Y41" s="3441"/>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39"/>
      <c r="Q42" s="1261" t="str">
        <f t="shared" si="8"/>
        <v>内部装修</v>
      </c>
      <c r="R42" s="666" t="s">
        <v>14</v>
      </c>
      <c r="S42" s="667">
        <f t="shared" si="9"/>
        <v>100</v>
      </c>
      <c r="T42" s="666" t="s">
        <v>14</v>
      </c>
      <c r="U42" s="667">
        <f t="shared" si="10"/>
        <v>100</v>
      </c>
      <c r="V42" s="666" t="s">
        <v>14</v>
      </c>
      <c r="W42" s="667">
        <f t="shared" si="11"/>
        <v>100</v>
      </c>
      <c r="X42" s="1263"/>
      <c r="Y42" s="3441"/>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39"/>
      <c r="Q43" s="1261" t="str">
        <f t="shared" si="8"/>
        <v>内部装修维护情况</v>
      </c>
      <c r="R43" s="666" t="s">
        <v>14</v>
      </c>
      <c r="S43" s="667">
        <f t="shared" si="9"/>
        <v>100</v>
      </c>
      <c r="T43" s="666" t="s">
        <v>14</v>
      </c>
      <c r="U43" s="667">
        <f t="shared" si="10"/>
        <v>100</v>
      </c>
      <c r="V43" s="666" t="s">
        <v>14</v>
      </c>
      <c r="W43" s="667">
        <f t="shared" si="11"/>
        <v>100</v>
      </c>
      <c r="X43" s="1263"/>
      <c r="Y43" s="3441"/>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39"/>
      <c r="Q44" s="529">
        <f t="shared" si="8"/>
        <v>111</v>
      </c>
      <c r="R44" s="663" t="s">
        <v>14</v>
      </c>
      <c r="S44" s="664">
        <f t="shared" si="9"/>
        <v>100</v>
      </c>
      <c r="T44" s="663" t="s">
        <v>14</v>
      </c>
      <c r="U44" s="664">
        <f t="shared" si="10"/>
        <v>100</v>
      </c>
      <c r="V44" s="663" t="s">
        <v>14</v>
      </c>
      <c r="W44" s="664">
        <f t="shared" si="11"/>
        <v>100</v>
      </c>
      <c r="X44" s="665"/>
      <c r="Y44" s="3441"/>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39"/>
      <c r="Q45" s="1261">
        <f t="shared" si="8"/>
        <v>111</v>
      </c>
      <c r="R45" s="666" t="s">
        <v>14</v>
      </c>
      <c r="S45" s="667">
        <f t="shared" si="9"/>
        <v>100</v>
      </c>
      <c r="T45" s="666" t="s">
        <v>14</v>
      </c>
      <c r="U45" s="667">
        <f t="shared" si="10"/>
        <v>100</v>
      </c>
      <c r="V45" s="666" t="s">
        <v>14</v>
      </c>
      <c r="W45" s="667">
        <f t="shared" si="11"/>
        <v>100</v>
      </c>
      <c r="X45" s="1263"/>
      <c r="Y45" s="3441"/>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40"/>
      <c r="Q46" s="1261">
        <f t="shared" si="8"/>
        <v>111</v>
      </c>
      <c r="R46" s="666" t="s">
        <v>14</v>
      </c>
      <c r="S46" s="667">
        <f t="shared" si="9"/>
        <v>100</v>
      </c>
      <c r="T46" s="666" t="s">
        <v>14</v>
      </c>
      <c r="U46" s="667">
        <f t="shared" si="10"/>
        <v>100</v>
      </c>
      <c r="V46" s="666" t="s">
        <v>14</v>
      </c>
      <c r="W46" s="667">
        <f t="shared" si="11"/>
        <v>100</v>
      </c>
      <c r="X46" s="1263"/>
      <c r="Y46" s="3442"/>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34" t="str">
        <f>A47</f>
        <v>成交单价（元/平方米）</v>
      </c>
      <c r="Q47" s="3434"/>
      <c r="R47" s="3435">
        <f>E47</f>
        <v>0</v>
      </c>
      <c r="S47" s="3435"/>
      <c r="T47" s="3435">
        <f>G47</f>
        <v>0</v>
      </c>
      <c r="U47" s="3435"/>
      <c r="V47" s="3435">
        <f>I47</f>
        <v>0</v>
      </c>
      <c r="W47" s="3435"/>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34" t="str">
        <f>A48</f>
        <v>比较价值（元/平方米）</v>
      </c>
      <c r="Q48" s="3434"/>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2024-12</v>
      </c>
      <c r="D58" s="1102">
        <f>EDATE(C58,-1)</f>
        <v>45597</v>
      </c>
      <c r="E58" s="1102">
        <f t="shared" ref="E58:N58" si="13">EDATE(D58,-1)</f>
        <v>45566</v>
      </c>
      <c r="F58" s="1102">
        <f t="shared" si="13"/>
        <v>45536</v>
      </c>
      <c r="G58" s="1102">
        <f t="shared" si="13"/>
        <v>45505</v>
      </c>
      <c r="H58" s="1102">
        <f t="shared" si="13"/>
        <v>45474</v>
      </c>
      <c r="I58" s="1102">
        <f t="shared" si="13"/>
        <v>45444</v>
      </c>
      <c r="J58" s="1102">
        <f t="shared" si="13"/>
        <v>45413</v>
      </c>
      <c r="K58" s="1102">
        <f t="shared" si="13"/>
        <v>45383</v>
      </c>
      <c r="L58" s="1102">
        <f t="shared" si="13"/>
        <v>45352</v>
      </c>
      <c r="M58" s="1102">
        <f t="shared" si="13"/>
        <v>45323</v>
      </c>
      <c r="N58" s="1102">
        <f t="shared" si="13"/>
        <v>45292</v>
      </c>
      <c r="O58" s="1102">
        <f>EDATE(N58,-1)</f>
        <v>45261</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54242.66</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49" t="s">
        <v>1767</v>
      </c>
      <c r="D4" s="3450"/>
      <c r="E4" s="3451" t="s">
        <v>1768</v>
      </c>
      <c r="F4" s="3452"/>
      <c r="G4" s="3449" t="s">
        <v>1769</v>
      </c>
      <c r="H4" s="3450"/>
      <c r="I4" s="3449" t="s">
        <v>1770</v>
      </c>
      <c r="J4" s="3450"/>
      <c r="K4" s="536" t="s">
        <v>1771</v>
      </c>
      <c r="L4" s="2481"/>
      <c r="M4" s="2482"/>
      <c r="N4" s="2482"/>
      <c r="O4" s="2482"/>
      <c r="P4" s="3486" t="s">
        <v>1772</v>
      </c>
      <c r="Q4" s="3487"/>
      <c r="R4" s="3490" t="s">
        <v>1768</v>
      </c>
      <c r="S4" s="3491"/>
      <c r="T4" s="3490" t="s">
        <v>1769</v>
      </c>
      <c r="U4" s="3491"/>
      <c r="V4" s="3492" t="s">
        <v>1770</v>
      </c>
      <c r="W4" s="3492"/>
      <c r="X4" s="1804"/>
      <c r="Y4" s="3490" t="s">
        <v>1772</v>
      </c>
      <c r="Z4" s="3491"/>
      <c r="AA4" s="3494" t="s">
        <v>1768</v>
      </c>
      <c r="AB4" s="3494" t="s">
        <v>1769</v>
      </c>
      <c r="AC4" s="3483" t="s">
        <v>1770</v>
      </c>
    </row>
    <row r="5" spans="1:29" ht="15">
      <c r="A5" s="347"/>
      <c r="B5" s="348"/>
      <c r="C5" s="3478" t="s">
        <v>1673</v>
      </c>
      <c r="D5" s="3473"/>
      <c r="E5" s="3479" t="s">
        <v>1674</v>
      </c>
      <c r="F5" s="3477"/>
      <c r="G5" s="3478" t="s">
        <v>1675</v>
      </c>
      <c r="H5" s="3473"/>
      <c r="I5" s="3478" t="s">
        <v>1676</v>
      </c>
      <c r="J5" s="3473"/>
      <c r="K5" s="536"/>
      <c r="L5" s="2481"/>
      <c r="M5" s="2482"/>
      <c r="N5" s="2482"/>
      <c r="O5" s="2482"/>
      <c r="P5" s="3488"/>
      <c r="Q5" s="3456"/>
      <c r="R5" s="3461"/>
      <c r="S5" s="3462"/>
      <c r="T5" s="3461"/>
      <c r="U5" s="3462"/>
      <c r="V5" s="3435"/>
      <c r="W5" s="3435"/>
      <c r="X5" s="1263"/>
      <c r="Y5" s="3461"/>
      <c r="Z5" s="3462"/>
      <c r="AA5" s="3447"/>
      <c r="AB5" s="3447"/>
      <c r="AC5" s="3484"/>
    </row>
    <row r="6" spans="1:29" ht="15.75" thickBot="1">
      <c r="A6" s="349"/>
      <c r="B6" s="350"/>
      <c r="C6" s="3465" t="s">
        <v>1677</v>
      </c>
      <c r="D6" s="3466"/>
      <c r="E6" s="3474" t="s">
        <v>1677</v>
      </c>
      <c r="F6" s="3475"/>
      <c r="G6" s="3465" t="s">
        <v>1677</v>
      </c>
      <c r="H6" s="3466"/>
      <c r="I6" s="3465" t="s">
        <v>1677</v>
      </c>
      <c r="J6" s="3466"/>
      <c r="K6" s="536" t="s">
        <v>1678</v>
      </c>
      <c r="L6" s="2481"/>
      <c r="M6" s="2482"/>
      <c r="N6" s="2482"/>
      <c r="O6" s="2482"/>
      <c r="P6" s="3489"/>
      <c r="Q6" s="3458"/>
      <c r="R6" s="3461"/>
      <c r="S6" s="3462"/>
      <c r="T6" s="3463"/>
      <c r="U6" s="3464"/>
      <c r="V6" s="3435"/>
      <c r="W6" s="3435"/>
      <c r="X6" s="1263"/>
      <c r="Y6" s="3463"/>
      <c r="Z6" s="3464"/>
      <c r="AA6" s="3448"/>
      <c r="AB6" s="3448"/>
      <c r="AC6" s="3485"/>
    </row>
    <row r="7" spans="1:29" s="101" customFormat="1" ht="15.75" thickBot="1">
      <c r="A7" s="351" t="s">
        <v>1679</v>
      </c>
      <c r="B7" s="352"/>
      <c r="C7" s="353">
        <f>'数据-取费表'!B2</f>
        <v>45652</v>
      </c>
      <c r="D7" s="354">
        <v>100</v>
      </c>
      <c r="E7" s="355"/>
      <c r="F7" s="356">
        <f>SUMIF(59:59,YEAR(E7)&amp;"-"&amp;MONTH(E7),60:60)</f>
        <v>0</v>
      </c>
      <c r="G7" s="355"/>
      <c r="H7" s="354">
        <f>SUMIF(59:59,YEAR(G7)&amp;"-"&amp;MONTH(G7),60:60)</f>
        <v>0</v>
      </c>
      <c r="I7" s="355"/>
      <c r="J7" s="354">
        <f>SUMIF(59:59,YEAR(I7)&amp;"-"&amp;MONTH(I7),60:60)</f>
        <v>0</v>
      </c>
      <c r="K7" s="38"/>
      <c r="L7" s="2483"/>
      <c r="M7" s="2434"/>
      <c r="N7" s="2434"/>
      <c r="O7" s="2434"/>
      <c r="P7" s="3493" t="s">
        <v>1680</v>
      </c>
      <c r="Q7" s="3471"/>
      <c r="R7" s="663" t="s">
        <v>14</v>
      </c>
      <c r="S7" s="664">
        <f t="shared" ref="S7:S15" si="0">F7</f>
        <v>0</v>
      </c>
      <c r="T7" s="663" t="s">
        <v>14</v>
      </c>
      <c r="U7" s="664">
        <f t="shared" ref="U7:U15" si="1">H7</f>
        <v>0</v>
      </c>
      <c r="V7" s="663" t="s">
        <v>14</v>
      </c>
      <c r="W7" s="664">
        <f t="shared" ref="W7:W15" si="2">J7</f>
        <v>0</v>
      </c>
      <c r="X7" s="665"/>
      <c r="Y7" s="3469" t="s">
        <v>1680</v>
      </c>
      <c r="Z7" s="3470"/>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93" t="s">
        <v>1683</v>
      </c>
      <c r="Q8" s="3470"/>
      <c r="R8" s="663" t="s">
        <v>14</v>
      </c>
      <c r="S8" s="664">
        <f t="shared" si="0"/>
        <v>100</v>
      </c>
      <c r="T8" s="663" t="s">
        <v>14</v>
      </c>
      <c r="U8" s="664">
        <f t="shared" si="1"/>
        <v>100</v>
      </c>
      <c r="V8" s="663" t="s">
        <v>14</v>
      </c>
      <c r="W8" s="664">
        <f t="shared" si="2"/>
        <v>100</v>
      </c>
      <c r="X8" s="665"/>
      <c r="Y8" s="3469" t="s">
        <v>1683</v>
      </c>
      <c r="Z8" s="3470"/>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45" t="s">
        <v>1686</v>
      </c>
      <c r="Q9" s="529" t="str">
        <f t="shared" ref="Q9:Q15" si="6">B9</f>
        <v>用途</v>
      </c>
      <c r="R9" s="663" t="s">
        <v>14</v>
      </c>
      <c r="S9" s="664">
        <f t="shared" si="0"/>
        <v>100</v>
      </c>
      <c r="T9" s="663" t="s">
        <v>14</v>
      </c>
      <c r="U9" s="664">
        <f t="shared" si="1"/>
        <v>100</v>
      </c>
      <c r="V9" s="663" t="s">
        <v>14</v>
      </c>
      <c r="W9" s="664">
        <f t="shared" si="2"/>
        <v>100</v>
      </c>
      <c r="X9" s="665"/>
      <c r="Y9" s="3309"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45"/>
      <c r="Q10" s="529" t="str">
        <f t="shared" si="6"/>
        <v>土地使用年限（年）</v>
      </c>
      <c r="R10" s="663" t="s">
        <v>14</v>
      </c>
      <c r="S10" s="664">
        <f t="shared" si="0"/>
        <v>100</v>
      </c>
      <c r="T10" s="663" t="s">
        <v>14</v>
      </c>
      <c r="U10" s="664">
        <f t="shared" si="1"/>
        <v>100</v>
      </c>
      <c r="V10" s="663" t="s">
        <v>14</v>
      </c>
      <c r="W10" s="664">
        <f t="shared" si="2"/>
        <v>100</v>
      </c>
      <c r="X10" s="665"/>
      <c r="Y10" s="3309"/>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45"/>
      <c r="Q11" s="529" t="str">
        <f t="shared" si="6"/>
        <v>容积率</v>
      </c>
      <c r="R11" s="663" t="s">
        <v>14</v>
      </c>
      <c r="S11" s="664">
        <f t="shared" si="0"/>
        <v>100</v>
      </c>
      <c r="T11" s="663" t="s">
        <v>14</v>
      </c>
      <c r="U11" s="664">
        <f t="shared" si="1"/>
        <v>100</v>
      </c>
      <c r="V11" s="663" t="s">
        <v>14</v>
      </c>
      <c r="W11" s="664">
        <f t="shared" si="2"/>
        <v>100</v>
      </c>
      <c r="X11" s="665"/>
      <c r="Y11" s="3309"/>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45"/>
      <c r="Q12" s="529">
        <f t="shared" si="6"/>
        <v>111</v>
      </c>
      <c r="R12" s="663" t="s">
        <v>14</v>
      </c>
      <c r="S12" s="664">
        <f t="shared" si="0"/>
        <v>100</v>
      </c>
      <c r="T12" s="663" t="s">
        <v>14</v>
      </c>
      <c r="U12" s="664">
        <f t="shared" si="1"/>
        <v>100</v>
      </c>
      <c r="V12" s="663" t="s">
        <v>14</v>
      </c>
      <c r="W12" s="664">
        <f t="shared" si="2"/>
        <v>100</v>
      </c>
      <c r="X12" s="665"/>
      <c r="Y12" s="3309"/>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45"/>
      <c r="Q13" s="529">
        <f t="shared" si="6"/>
        <v>111</v>
      </c>
      <c r="R13" s="663" t="s">
        <v>14</v>
      </c>
      <c r="S13" s="664">
        <f t="shared" si="0"/>
        <v>100</v>
      </c>
      <c r="T13" s="663" t="s">
        <v>14</v>
      </c>
      <c r="U13" s="664">
        <f t="shared" si="1"/>
        <v>100</v>
      </c>
      <c r="V13" s="663" t="s">
        <v>14</v>
      </c>
      <c r="W13" s="664">
        <f t="shared" si="2"/>
        <v>100</v>
      </c>
      <c r="X13" s="665"/>
      <c r="Y13" s="3309"/>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45"/>
      <c r="Q14" s="529">
        <f t="shared" si="6"/>
        <v>111</v>
      </c>
      <c r="R14" s="663" t="s">
        <v>14</v>
      </c>
      <c r="S14" s="664">
        <f t="shared" si="0"/>
        <v>100</v>
      </c>
      <c r="T14" s="663" t="s">
        <v>14</v>
      </c>
      <c r="U14" s="664">
        <f t="shared" si="1"/>
        <v>100</v>
      </c>
      <c r="V14" s="663" t="s">
        <v>14</v>
      </c>
      <c r="W14" s="664">
        <f t="shared" si="2"/>
        <v>100</v>
      </c>
      <c r="X14" s="665"/>
      <c r="Y14" s="3309"/>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43" t="s">
        <v>1691</v>
      </c>
      <c r="Q15" s="1261" t="str">
        <f t="shared" si="6"/>
        <v>办公集聚程度</v>
      </c>
      <c r="R15" s="666" t="s">
        <v>14</v>
      </c>
      <c r="S15" s="667">
        <f t="shared" si="0"/>
        <v>100</v>
      </c>
      <c r="T15" s="666" t="s">
        <v>14</v>
      </c>
      <c r="U15" s="667">
        <f t="shared" si="1"/>
        <v>100</v>
      </c>
      <c r="V15" s="666" t="s">
        <v>14</v>
      </c>
      <c r="W15" s="667">
        <f t="shared" si="2"/>
        <v>100</v>
      </c>
      <c r="X15" s="1263"/>
      <c r="Y15" s="3436"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44"/>
      <c r="Q16" s="1261"/>
      <c r="R16" s="666"/>
      <c r="S16" s="667"/>
      <c r="T16" s="666"/>
      <c r="U16" s="667"/>
      <c r="V16" s="666"/>
      <c r="W16" s="667"/>
      <c r="X16" s="1263"/>
      <c r="Y16" s="3437"/>
      <c r="Z16" s="1262"/>
      <c r="AA16" s="1262">
        <v>1</v>
      </c>
      <c r="AB16" s="1262">
        <v>1</v>
      </c>
      <c r="AC16" s="1807">
        <v>1</v>
      </c>
    </row>
    <row r="17" spans="1:29" ht="85.5">
      <c r="A17" s="366"/>
      <c r="B17" s="555" t="s">
        <v>1259</v>
      </c>
      <c r="C17" s="1808" t="str">
        <f>估价对象房地状况!C6</f>
        <v>周边有537路、643路、905路等多条公交线路，紧邻城市支路——爱博路，综合评价交通便捷度一般</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44"/>
      <c r="Q17" s="1261" t="str">
        <f>B17</f>
        <v>交通便捷度</v>
      </c>
      <c r="R17" s="666" t="s">
        <v>14</v>
      </c>
      <c r="S17" s="667">
        <f>F17</f>
        <v>100</v>
      </c>
      <c r="T17" s="666" t="s">
        <v>14</v>
      </c>
      <c r="U17" s="667">
        <f>H17</f>
        <v>100</v>
      </c>
      <c r="V17" s="666" t="s">
        <v>14</v>
      </c>
      <c r="W17" s="667">
        <f>J17</f>
        <v>100</v>
      </c>
      <c r="X17" s="1263"/>
      <c r="Y17" s="3437"/>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44"/>
      <c r="Q18" s="1261"/>
      <c r="R18" s="666"/>
      <c r="S18" s="667"/>
      <c r="T18" s="666"/>
      <c r="U18" s="667"/>
      <c r="V18" s="666"/>
      <c r="W18" s="667"/>
      <c r="X18" s="1263"/>
      <c r="Y18" s="3437"/>
      <c r="Z18" s="1262"/>
      <c r="AA18" s="1262">
        <v>1</v>
      </c>
      <c r="AB18" s="1262">
        <v>1</v>
      </c>
      <c r="AC18" s="1807">
        <v>1</v>
      </c>
    </row>
    <row r="19" spans="1:29" ht="156.75">
      <c r="A19" s="366"/>
      <c r="B19" s="555" t="s">
        <v>1809</v>
      </c>
      <c r="C19" s="1808"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44"/>
      <c r="Q19" s="1261" t="str">
        <f>B19</f>
        <v>公共配套设施</v>
      </c>
      <c r="R19" s="666" t="s">
        <v>14</v>
      </c>
      <c r="S19" s="667">
        <f>F19</f>
        <v>100</v>
      </c>
      <c r="T19" s="666" t="s">
        <v>14</v>
      </c>
      <c r="U19" s="667">
        <f>H19</f>
        <v>100</v>
      </c>
      <c r="V19" s="666" t="s">
        <v>14</v>
      </c>
      <c r="W19" s="667">
        <f>J19</f>
        <v>100</v>
      </c>
      <c r="X19" s="1263"/>
      <c r="Y19" s="3437"/>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44"/>
      <c r="Q20" s="1261"/>
      <c r="R20" s="666"/>
      <c r="S20" s="667"/>
      <c r="T20" s="666"/>
      <c r="U20" s="667"/>
      <c r="V20" s="666"/>
      <c r="W20" s="667"/>
      <c r="X20" s="1263"/>
      <c r="Y20" s="3437"/>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44"/>
      <c r="Q21" s="1261" t="str">
        <f>B21</f>
        <v>基础设施水平</v>
      </c>
      <c r="R21" s="666" t="s">
        <v>14</v>
      </c>
      <c r="S21" s="667">
        <f>F21</f>
        <v>100</v>
      </c>
      <c r="T21" s="666" t="s">
        <v>14</v>
      </c>
      <c r="U21" s="667">
        <f>H21</f>
        <v>100</v>
      </c>
      <c r="V21" s="666" t="s">
        <v>14</v>
      </c>
      <c r="W21" s="667">
        <f>J21</f>
        <v>100</v>
      </c>
      <c r="X21" s="1263"/>
      <c r="Y21" s="3437"/>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44"/>
      <c r="Q22" s="1261"/>
      <c r="R22" s="666"/>
      <c r="S22" s="667"/>
      <c r="T22" s="666"/>
      <c r="U22" s="667"/>
      <c r="V22" s="666"/>
      <c r="W22" s="667"/>
      <c r="X22" s="1263"/>
      <c r="Y22" s="3437"/>
      <c r="Z22" s="1262"/>
      <c r="AA22" s="1262">
        <v>1</v>
      </c>
      <c r="AB22" s="1262">
        <v>1</v>
      </c>
      <c r="AC22" s="1807">
        <v>1</v>
      </c>
    </row>
    <row r="23" spans="1:29" ht="71.25">
      <c r="A23" s="366"/>
      <c r="B23" s="555" t="s">
        <v>1811</v>
      </c>
      <c r="C23" s="1808" t="str">
        <f>估价对象房地状况!C9</f>
        <v>自然环境：温榆河水系等自然及人文景观；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44"/>
      <c r="Q23" s="1261" t="str">
        <f>B23</f>
        <v>环境质量</v>
      </c>
      <c r="R23" s="666" t="s">
        <v>14</v>
      </c>
      <c r="S23" s="667">
        <f>F23</f>
        <v>100</v>
      </c>
      <c r="T23" s="666" t="s">
        <v>14</v>
      </c>
      <c r="U23" s="667">
        <f>H23</f>
        <v>100</v>
      </c>
      <c r="V23" s="666" t="s">
        <v>14</v>
      </c>
      <c r="W23" s="667">
        <f>J23</f>
        <v>100</v>
      </c>
      <c r="X23" s="1263"/>
      <c r="Y23" s="3437"/>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44"/>
      <c r="Q24" s="1261"/>
      <c r="R24" s="666"/>
      <c r="S24" s="667"/>
      <c r="T24" s="666"/>
      <c r="U24" s="667"/>
      <c r="V24" s="666"/>
      <c r="W24" s="667"/>
      <c r="X24" s="1263"/>
      <c r="Y24" s="3437"/>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44"/>
      <c r="Q25" s="1261" t="str">
        <f>B25</f>
        <v>毗邻道路的类型与等级</v>
      </c>
      <c r="R25" s="666" t="s">
        <v>14</v>
      </c>
      <c r="S25" s="667">
        <f>F25</f>
        <v>100</v>
      </c>
      <c r="T25" s="666" t="s">
        <v>14</v>
      </c>
      <c r="U25" s="667">
        <f>H25</f>
        <v>100</v>
      </c>
      <c r="V25" s="666" t="s">
        <v>14</v>
      </c>
      <c r="W25" s="667">
        <f>J25</f>
        <v>100</v>
      </c>
      <c r="X25" s="1263"/>
      <c r="Y25" s="3437"/>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44"/>
      <c r="Q26" s="1261"/>
      <c r="R26" s="666"/>
      <c r="S26" s="667"/>
      <c r="T26" s="666"/>
      <c r="U26" s="667"/>
      <c r="V26" s="666"/>
      <c r="W26" s="667"/>
      <c r="X26" s="1263"/>
      <c r="Y26" s="3437"/>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44"/>
      <c r="Q27" s="1261" t="str">
        <f t="shared" ref="Q27:Q47" si="8">B27</f>
        <v>楼层</v>
      </c>
      <c r="R27" s="666" t="s">
        <v>14</v>
      </c>
      <c r="S27" s="667">
        <f>F27</f>
        <v>100</v>
      </c>
      <c r="T27" s="666" t="s">
        <v>14</v>
      </c>
      <c r="U27" s="667">
        <f>H27</f>
        <v>100</v>
      </c>
      <c r="V27" s="666" t="s">
        <v>14</v>
      </c>
      <c r="W27" s="667">
        <f>J27</f>
        <v>100</v>
      </c>
      <c r="X27" s="1263"/>
      <c r="Y27" s="3437"/>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44"/>
      <c r="Q28" s="529" t="str">
        <f t="shared" si="8"/>
        <v>朝向</v>
      </c>
      <c r="R28" s="663" t="s">
        <v>14</v>
      </c>
      <c r="S28" s="664">
        <f>F28</f>
        <v>100</v>
      </c>
      <c r="T28" s="663" t="s">
        <v>14</v>
      </c>
      <c r="U28" s="664">
        <f>H28</f>
        <v>100</v>
      </c>
      <c r="V28" s="663" t="s">
        <v>14</v>
      </c>
      <c r="W28" s="664">
        <f>J28</f>
        <v>100</v>
      </c>
      <c r="X28" s="665"/>
      <c r="Y28" s="3437"/>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44"/>
      <c r="Q29" s="1261">
        <f t="shared" si="8"/>
        <v>111</v>
      </c>
      <c r="R29" s="666" t="s">
        <v>14</v>
      </c>
      <c r="S29" s="667">
        <f t="shared" ref="S29:S47" si="9">F29</f>
        <v>100</v>
      </c>
      <c r="T29" s="666" t="s">
        <v>14</v>
      </c>
      <c r="U29" s="667">
        <f t="shared" ref="U29:U47" si="10">H29</f>
        <v>100</v>
      </c>
      <c r="V29" s="666" t="s">
        <v>14</v>
      </c>
      <c r="W29" s="667">
        <f t="shared" ref="W29:W47" si="11">J29</f>
        <v>100</v>
      </c>
      <c r="X29" s="1263"/>
      <c r="Y29" s="3437"/>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44"/>
      <c r="Q30" s="1261">
        <f t="shared" si="8"/>
        <v>111</v>
      </c>
      <c r="R30" s="666" t="s">
        <v>14</v>
      </c>
      <c r="S30" s="667">
        <f t="shared" si="9"/>
        <v>100</v>
      </c>
      <c r="T30" s="666" t="s">
        <v>14</v>
      </c>
      <c r="U30" s="667">
        <f t="shared" si="10"/>
        <v>100</v>
      </c>
      <c r="V30" s="666" t="s">
        <v>14</v>
      </c>
      <c r="W30" s="667">
        <f t="shared" si="11"/>
        <v>100</v>
      </c>
      <c r="X30" s="1263"/>
      <c r="Y30" s="3437"/>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44"/>
      <c r="Q31" s="1261">
        <f t="shared" si="8"/>
        <v>111</v>
      </c>
      <c r="R31" s="666" t="s">
        <v>14</v>
      </c>
      <c r="S31" s="667">
        <f t="shared" si="9"/>
        <v>100</v>
      </c>
      <c r="T31" s="666" t="s">
        <v>14</v>
      </c>
      <c r="U31" s="667">
        <f t="shared" si="10"/>
        <v>100</v>
      </c>
      <c r="V31" s="666" t="s">
        <v>14</v>
      </c>
      <c r="W31" s="667">
        <f t="shared" si="11"/>
        <v>100</v>
      </c>
      <c r="X31" s="1263"/>
      <c r="Y31" s="3437"/>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44"/>
      <c r="Q32" s="1261">
        <f t="shared" si="8"/>
        <v>111</v>
      </c>
      <c r="R32" s="666" t="s">
        <v>14</v>
      </c>
      <c r="S32" s="667">
        <f t="shared" si="9"/>
        <v>100</v>
      </c>
      <c r="T32" s="666" t="s">
        <v>14</v>
      </c>
      <c r="U32" s="667">
        <f t="shared" si="10"/>
        <v>100</v>
      </c>
      <c r="V32" s="666" t="s">
        <v>14</v>
      </c>
      <c r="W32" s="667">
        <f t="shared" si="11"/>
        <v>100</v>
      </c>
      <c r="X32" s="1263"/>
      <c r="Y32" s="3437"/>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38" t="s">
        <v>1696</v>
      </c>
      <c r="Q33" s="1261" t="str">
        <f t="shared" si="8"/>
        <v>建筑类型</v>
      </c>
      <c r="R33" s="666" t="s">
        <v>14</v>
      </c>
      <c r="S33" s="667">
        <f t="shared" si="9"/>
        <v>100</v>
      </c>
      <c r="T33" s="666" t="s">
        <v>14</v>
      </c>
      <c r="U33" s="667">
        <f t="shared" si="10"/>
        <v>100</v>
      </c>
      <c r="V33" s="666" t="s">
        <v>14</v>
      </c>
      <c r="W33" s="667">
        <f t="shared" si="11"/>
        <v>100</v>
      </c>
      <c r="X33" s="1263"/>
      <c r="Y33" s="3441"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39"/>
      <c r="Q34" s="530" t="str">
        <f t="shared" si="8"/>
        <v>项目建筑规模</v>
      </c>
      <c r="R34" s="668" t="s">
        <v>14</v>
      </c>
      <c r="S34" s="669" t="e">
        <f t="shared" si="9"/>
        <v>#N/A</v>
      </c>
      <c r="T34" s="668" t="s">
        <v>14</v>
      </c>
      <c r="U34" s="669" t="e">
        <f t="shared" si="10"/>
        <v>#N/A</v>
      </c>
      <c r="V34" s="668" t="s">
        <v>14</v>
      </c>
      <c r="W34" s="669" t="e">
        <f t="shared" si="11"/>
        <v>#N/A</v>
      </c>
      <c r="X34" s="670"/>
      <c r="Y34" s="3441"/>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39"/>
      <c r="Q35" s="1261" t="str">
        <f t="shared" si="8"/>
        <v>建筑结构</v>
      </c>
      <c r="R35" s="666" t="s">
        <v>14</v>
      </c>
      <c r="S35" s="667">
        <f t="shared" si="9"/>
        <v>100</v>
      </c>
      <c r="T35" s="666" t="s">
        <v>14</v>
      </c>
      <c r="U35" s="667">
        <f t="shared" si="10"/>
        <v>100</v>
      </c>
      <c r="V35" s="666" t="s">
        <v>14</v>
      </c>
      <c r="W35" s="667">
        <f t="shared" si="11"/>
        <v>100</v>
      </c>
      <c r="X35" s="1263"/>
      <c r="Y35" s="3441"/>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39"/>
      <c r="Q36" s="1261" t="str">
        <f t="shared" si="8"/>
        <v>公共部分装修</v>
      </c>
      <c r="R36" s="666" t="s">
        <v>14</v>
      </c>
      <c r="S36" s="667">
        <f t="shared" si="9"/>
        <v>100</v>
      </c>
      <c r="T36" s="666" t="s">
        <v>14</v>
      </c>
      <c r="U36" s="667">
        <f t="shared" si="10"/>
        <v>100</v>
      </c>
      <c r="V36" s="666" t="s">
        <v>14</v>
      </c>
      <c r="W36" s="667">
        <f t="shared" si="11"/>
        <v>100</v>
      </c>
      <c r="X36" s="1263"/>
      <c r="Y36" s="3441"/>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39"/>
      <c r="Q37" s="1261" t="str">
        <f t="shared" si="8"/>
        <v>成新度</v>
      </c>
      <c r="R37" s="666" t="s">
        <v>14</v>
      </c>
      <c r="S37" s="667" t="e">
        <f t="shared" si="9"/>
        <v>#N/A</v>
      </c>
      <c r="T37" s="666" t="s">
        <v>14</v>
      </c>
      <c r="U37" s="667" t="e">
        <f t="shared" si="10"/>
        <v>#N/A</v>
      </c>
      <c r="V37" s="666" t="s">
        <v>14</v>
      </c>
      <c r="W37" s="667" t="e">
        <f t="shared" si="11"/>
        <v>#N/A</v>
      </c>
      <c r="X37" s="1263"/>
      <c r="Y37" s="3441"/>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39"/>
      <c r="Q38" s="529" t="str">
        <f t="shared" si="8"/>
        <v>写字楼等级</v>
      </c>
      <c r="R38" s="663" t="s">
        <v>14</v>
      </c>
      <c r="S38" s="664">
        <f t="shared" si="9"/>
        <v>100</v>
      </c>
      <c r="T38" s="663" t="s">
        <v>14</v>
      </c>
      <c r="U38" s="664">
        <f t="shared" si="10"/>
        <v>100</v>
      </c>
      <c r="V38" s="663" t="s">
        <v>14</v>
      </c>
      <c r="W38" s="664">
        <f t="shared" si="11"/>
        <v>100</v>
      </c>
      <c r="X38" s="665"/>
      <c r="Y38" s="3441"/>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39" t="s">
        <v>1696</v>
      </c>
      <c r="Q39" s="1261" t="str">
        <f t="shared" si="8"/>
        <v>物业管理</v>
      </c>
      <c r="R39" s="666" t="s">
        <v>14</v>
      </c>
      <c r="S39" s="667">
        <f t="shared" si="9"/>
        <v>100</v>
      </c>
      <c r="T39" s="666" t="s">
        <v>14</v>
      </c>
      <c r="U39" s="667">
        <f t="shared" si="10"/>
        <v>100</v>
      </c>
      <c r="V39" s="666" t="s">
        <v>14</v>
      </c>
      <c r="W39" s="667">
        <f t="shared" si="11"/>
        <v>100</v>
      </c>
      <c r="X39" s="1263"/>
      <c r="Y39" s="3441"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39"/>
      <c r="Q40" s="1261" t="str">
        <f t="shared" si="8"/>
        <v>市政基础设施</v>
      </c>
      <c r="R40" s="666" t="s">
        <v>14</v>
      </c>
      <c r="S40" s="667">
        <f t="shared" si="9"/>
        <v>100</v>
      </c>
      <c r="T40" s="666" t="s">
        <v>14</v>
      </c>
      <c r="U40" s="667">
        <f t="shared" si="10"/>
        <v>100</v>
      </c>
      <c r="V40" s="666" t="s">
        <v>14</v>
      </c>
      <c r="W40" s="667">
        <f t="shared" si="11"/>
        <v>100</v>
      </c>
      <c r="X40" s="1263"/>
      <c r="Y40" s="3441"/>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39"/>
      <c r="Q41" s="1261" t="str">
        <f t="shared" si="8"/>
        <v>层高</v>
      </c>
      <c r="R41" s="666" t="s">
        <v>14</v>
      </c>
      <c r="S41" s="667">
        <f t="shared" si="9"/>
        <v>100</v>
      </c>
      <c r="T41" s="666" t="s">
        <v>14</v>
      </c>
      <c r="U41" s="667">
        <f t="shared" si="10"/>
        <v>100</v>
      </c>
      <c r="V41" s="666" t="s">
        <v>14</v>
      </c>
      <c r="W41" s="667">
        <f t="shared" si="11"/>
        <v>100</v>
      </c>
      <c r="X41" s="1263"/>
      <c r="Y41" s="3441"/>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39"/>
      <c r="Q42" s="530" t="str">
        <f t="shared" si="8"/>
        <v>单套建筑面积</v>
      </c>
      <c r="R42" s="668" t="s">
        <v>14</v>
      </c>
      <c r="S42" s="669">
        <f t="shared" si="9"/>
        <v>100</v>
      </c>
      <c r="T42" s="668" t="s">
        <v>14</v>
      </c>
      <c r="U42" s="669">
        <f t="shared" si="10"/>
        <v>100</v>
      </c>
      <c r="V42" s="668" t="s">
        <v>14</v>
      </c>
      <c r="W42" s="669">
        <f t="shared" si="11"/>
        <v>100</v>
      </c>
      <c r="X42" s="670"/>
      <c r="Y42" s="3441"/>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39"/>
      <c r="Q43" s="1261" t="str">
        <f t="shared" si="8"/>
        <v>内部装修</v>
      </c>
      <c r="R43" s="666" t="s">
        <v>14</v>
      </c>
      <c r="S43" s="667">
        <f t="shared" si="9"/>
        <v>100</v>
      </c>
      <c r="T43" s="666" t="s">
        <v>14</v>
      </c>
      <c r="U43" s="667">
        <f t="shared" si="10"/>
        <v>100</v>
      </c>
      <c r="V43" s="666" t="s">
        <v>14</v>
      </c>
      <c r="W43" s="667">
        <f t="shared" si="11"/>
        <v>100</v>
      </c>
      <c r="X43" s="1263"/>
      <c r="Y43" s="3441"/>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39"/>
      <c r="Q44" s="1261" t="str">
        <f t="shared" si="8"/>
        <v>内部装修维护情况</v>
      </c>
      <c r="R44" s="666" t="s">
        <v>14</v>
      </c>
      <c r="S44" s="667">
        <f t="shared" si="9"/>
        <v>100</v>
      </c>
      <c r="T44" s="666" t="s">
        <v>14</v>
      </c>
      <c r="U44" s="667">
        <f t="shared" si="10"/>
        <v>100</v>
      </c>
      <c r="V44" s="666" t="s">
        <v>14</v>
      </c>
      <c r="W44" s="667">
        <f t="shared" si="11"/>
        <v>100</v>
      </c>
      <c r="X44" s="1263"/>
      <c r="Y44" s="3441"/>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39"/>
      <c r="Q45" s="529">
        <f t="shared" si="8"/>
        <v>111</v>
      </c>
      <c r="R45" s="663" t="s">
        <v>14</v>
      </c>
      <c r="S45" s="664">
        <f t="shared" si="9"/>
        <v>100</v>
      </c>
      <c r="T45" s="663" t="s">
        <v>14</v>
      </c>
      <c r="U45" s="664">
        <f t="shared" si="10"/>
        <v>100</v>
      </c>
      <c r="V45" s="663" t="s">
        <v>14</v>
      </c>
      <c r="W45" s="664">
        <f t="shared" si="11"/>
        <v>100</v>
      </c>
      <c r="X45" s="665"/>
      <c r="Y45" s="3441"/>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39"/>
      <c r="Q46" s="1261">
        <f t="shared" si="8"/>
        <v>111</v>
      </c>
      <c r="R46" s="666" t="s">
        <v>14</v>
      </c>
      <c r="S46" s="667">
        <f t="shared" si="9"/>
        <v>100</v>
      </c>
      <c r="T46" s="666" t="s">
        <v>14</v>
      </c>
      <c r="U46" s="667">
        <f t="shared" si="10"/>
        <v>100</v>
      </c>
      <c r="V46" s="666" t="s">
        <v>14</v>
      </c>
      <c r="W46" s="667">
        <f t="shared" si="11"/>
        <v>100</v>
      </c>
      <c r="X46" s="1263"/>
      <c r="Y46" s="3441"/>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40"/>
      <c r="Q47" s="1261">
        <f t="shared" si="8"/>
        <v>111</v>
      </c>
      <c r="R47" s="666" t="s">
        <v>14</v>
      </c>
      <c r="S47" s="667">
        <f t="shared" si="9"/>
        <v>100</v>
      </c>
      <c r="T47" s="666" t="s">
        <v>14</v>
      </c>
      <c r="U47" s="667">
        <f t="shared" si="10"/>
        <v>100</v>
      </c>
      <c r="V47" s="666" t="s">
        <v>14</v>
      </c>
      <c r="W47" s="667">
        <f t="shared" si="11"/>
        <v>100</v>
      </c>
      <c r="X47" s="1263"/>
      <c r="Y47" s="3442"/>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45" t="str">
        <f>A48</f>
        <v>成交单价（元/平方米）</v>
      </c>
      <c r="Q48" s="3434"/>
      <c r="R48" s="3435">
        <f>E48</f>
        <v>0</v>
      </c>
      <c r="S48" s="3435"/>
      <c r="T48" s="3435">
        <f>G48</f>
        <v>0</v>
      </c>
      <c r="U48" s="3435"/>
      <c r="V48" s="3435">
        <f>I48</f>
        <v>0</v>
      </c>
      <c r="W48" s="3435"/>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45" t="str">
        <f>A49</f>
        <v>比较价值（元/平方米）</v>
      </c>
      <c r="Q49" s="3434"/>
      <c r="R49" s="3435" t="e">
        <f>IF(F1="售价",ROUND(PRODUCT(R48,AA7:AA47),0),ROUND(PRODUCT(R48,AA7:AA47),1))</f>
        <v>#DIV/0!</v>
      </c>
      <c r="S49" s="3435"/>
      <c r="T49" s="3435" t="e">
        <f>IF(F1="售价",ROUND(PRODUCT(T48,AB7:AB47),0),ROUND(PRODUCT(T48,AB7:AB47),1))</f>
        <v>#DIV/0!</v>
      </c>
      <c r="U49" s="3435"/>
      <c r="V49" s="3435" t="e">
        <f>IF(F1="售价",ROUND(PRODUCT(V48,AC7:AC47),0),ROUND(PRODUCT(V48,AC7:AC47),1))</f>
        <v>#DIV/0!</v>
      </c>
      <c r="W49" s="3435"/>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80" t="str">
        <f>A50</f>
        <v>估价对象XX用房的比较价值（楼面单价，元/平方米）</v>
      </c>
      <c r="Q50" s="3481"/>
      <c r="R50" s="3482" t="e">
        <f>IF(F1="售价",ROUND(IF(D49="简单平均",AVERAGE(R49:V49),R49*F49+T49*H49+V49*J49),0),ROUND(IF(D49="简单平均",AVERAGE(R49:V49),R49*F49+T49*H49+V49*J49),1))</f>
        <v>#DIV/0!</v>
      </c>
      <c r="S50" s="3482"/>
      <c r="T50" s="3482"/>
      <c r="U50" s="3482"/>
      <c r="V50" s="3482"/>
      <c r="W50" s="3482"/>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2024-12</v>
      </c>
      <c r="D59" s="1102">
        <f>EDATE(C59,-1)</f>
        <v>45597</v>
      </c>
      <c r="E59" s="1102">
        <f>EDATE(D59,-1)</f>
        <v>45566</v>
      </c>
      <c r="F59" s="1102">
        <f t="shared" ref="F59:O59" si="13">EDATE(E59,-1)</f>
        <v>45536</v>
      </c>
      <c r="G59" s="1102">
        <f t="shared" si="13"/>
        <v>45505</v>
      </c>
      <c r="H59" s="1102">
        <f t="shared" si="13"/>
        <v>45474</v>
      </c>
      <c r="I59" s="1102">
        <f t="shared" si="13"/>
        <v>45444</v>
      </c>
      <c r="J59" s="1102">
        <f t="shared" si="13"/>
        <v>45413</v>
      </c>
      <c r="K59" s="1102">
        <f t="shared" si="13"/>
        <v>45383</v>
      </c>
      <c r="L59" s="1102">
        <f t="shared" si="13"/>
        <v>45352</v>
      </c>
      <c r="M59" s="1102">
        <f t="shared" si="13"/>
        <v>45323</v>
      </c>
      <c r="N59" s="1102">
        <f t="shared" si="13"/>
        <v>45292</v>
      </c>
      <c r="O59" s="1102">
        <f t="shared" si="13"/>
        <v>45261</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F7:F47 H7:H47 J7:J47">
    <cfRule type="cellIs" dxfId="85" priority="1" operator="notEqual">
      <formula>100</formula>
    </cfRule>
  </conditionalFormatting>
  <conditionalFormatting sqref="F53:F55 H53:H55">
    <cfRule type="containsText" dxfId="84" priority="17" stopIfTrue="1" operator="containsText" text="超过">
      <formula>NOT(ISERROR(SEARCH("超过",F53)))</formula>
    </cfRule>
  </conditionalFormatting>
  <conditionalFormatting sqref="G53">
    <cfRule type="expression" dxfId="83" priority="12" stopIfTrue="1">
      <formula>$H$53="超过30%"</formula>
    </cfRule>
  </conditionalFormatting>
  <conditionalFormatting sqref="G54">
    <cfRule type="expression" dxfId="82" priority="11" stopIfTrue="1">
      <formula>$H$54="超过20%"</formula>
    </cfRule>
  </conditionalFormatting>
  <conditionalFormatting sqref="G55">
    <cfRule type="expression" dxfId="81" priority="13" stopIfTrue="1">
      <formula>$H$55="超过30%"</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54242.66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49" t="s">
        <v>1767</v>
      </c>
      <c r="D4" s="3450"/>
      <c r="E4" s="3451" t="s">
        <v>1768</v>
      </c>
      <c r="F4" s="3452"/>
      <c r="G4" s="3449" t="s">
        <v>1769</v>
      </c>
      <c r="H4" s="3450"/>
      <c r="I4" s="3449" t="s">
        <v>1770</v>
      </c>
      <c r="J4" s="3450"/>
      <c r="K4" s="536" t="s">
        <v>1771</v>
      </c>
      <c r="L4" s="859"/>
      <c r="M4" s="860"/>
      <c r="N4" s="860"/>
      <c r="O4" s="860"/>
      <c r="P4" s="3453" t="s">
        <v>1772</v>
      </c>
      <c r="Q4" s="3454"/>
      <c r="R4" s="3459" t="s">
        <v>1768</v>
      </c>
      <c r="S4" s="3460"/>
      <c r="T4" s="3459" t="s">
        <v>1769</v>
      </c>
      <c r="U4" s="3460"/>
      <c r="V4" s="3435" t="s">
        <v>1770</v>
      </c>
      <c r="W4" s="3435"/>
      <c r="X4" s="1263"/>
      <c r="Y4" s="3459" t="s">
        <v>1772</v>
      </c>
      <c r="Z4" s="3460"/>
      <c r="AA4" s="3446" t="s">
        <v>1768</v>
      </c>
      <c r="AB4" s="3447" t="s">
        <v>1769</v>
      </c>
      <c r="AC4" s="3446" t="s">
        <v>1770</v>
      </c>
    </row>
    <row r="5" spans="1:29" ht="15">
      <c r="A5" s="347"/>
      <c r="B5" s="348"/>
      <c r="C5" s="3478" t="s">
        <v>1673</v>
      </c>
      <c r="D5" s="3473"/>
      <c r="E5" s="3479" t="s">
        <v>1674</v>
      </c>
      <c r="F5" s="3477"/>
      <c r="G5" s="3478" t="s">
        <v>1675</v>
      </c>
      <c r="H5" s="3473"/>
      <c r="I5" s="3478" t="s">
        <v>1676</v>
      </c>
      <c r="J5" s="3473"/>
      <c r="K5" s="536"/>
      <c r="L5" s="859"/>
      <c r="M5" s="860"/>
      <c r="N5" s="860"/>
      <c r="O5" s="860"/>
      <c r="P5" s="3455"/>
      <c r="Q5" s="3456"/>
      <c r="R5" s="3461"/>
      <c r="S5" s="3462"/>
      <c r="T5" s="3461"/>
      <c r="U5" s="3462"/>
      <c r="V5" s="3435"/>
      <c r="W5" s="3435"/>
      <c r="X5" s="1263"/>
      <c r="Y5" s="3461"/>
      <c r="Z5" s="3462"/>
      <c r="AA5" s="3447"/>
      <c r="AB5" s="3447"/>
      <c r="AC5" s="3447"/>
    </row>
    <row r="6" spans="1:29" ht="15.75" thickBot="1">
      <c r="A6" s="349"/>
      <c r="B6" s="350"/>
      <c r="C6" s="3465" t="s">
        <v>1677</v>
      </c>
      <c r="D6" s="3466"/>
      <c r="E6" s="3474" t="s">
        <v>1677</v>
      </c>
      <c r="F6" s="3475"/>
      <c r="G6" s="3465" t="s">
        <v>1677</v>
      </c>
      <c r="H6" s="3466"/>
      <c r="I6" s="3465" t="s">
        <v>1677</v>
      </c>
      <c r="J6" s="3466"/>
      <c r="K6" s="536" t="s">
        <v>1678</v>
      </c>
      <c r="L6" s="859"/>
      <c r="M6" s="860"/>
      <c r="N6" s="860"/>
      <c r="O6" s="860"/>
      <c r="P6" s="3457"/>
      <c r="Q6" s="3458"/>
      <c r="R6" s="3461"/>
      <c r="S6" s="3462"/>
      <c r="T6" s="3463"/>
      <c r="U6" s="3464"/>
      <c r="V6" s="3435"/>
      <c r="W6" s="3435"/>
      <c r="X6" s="1263"/>
      <c r="Y6" s="3463"/>
      <c r="Z6" s="3464"/>
      <c r="AA6" s="3448"/>
      <c r="AB6" s="3448"/>
      <c r="AC6" s="3448"/>
    </row>
    <row r="7" spans="1:29" s="101" customFormat="1" ht="15.75" thickBot="1">
      <c r="A7" s="351" t="s">
        <v>1679</v>
      </c>
      <c r="B7" s="352"/>
      <c r="C7" s="353">
        <f>'数据-取费表'!B2</f>
        <v>45652</v>
      </c>
      <c r="D7" s="354">
        <v>100</v>
      </c>
      <c r="E7" s="355"/>
      <c r="F7" s="356">
        <f>SUMIF(52:52,YEAR(E7)&amp;"-"&amp;MONTH(E7),53:53)</f>
        <v>0</v>
      </c>
      <c r="G7" s="355"/>
      <c r="H7" s="354">
        <f>SUMIF(52:52,YEAR(G7)&amp;"-"&amp;MONTH(G7),53:53)</f>
        <v>0</v>
      </c>
      <c r="I7" s="355"/>
      <c r="J7" s="354">
        <f>SUMIF(52:52,YEAR(I7)&amp;"-"&amp;MONTH(I7),53:53)</f>
        <v>0</v>
      </c>
      <c r="K7" s="38"/>
      <c r="L7" s="861"/>
      <c r="M7" s="862"/>
      <c r="N7" s="862"/>
      <c r="O7" s="862"/>
      <c r="P7" s="3469" t="s">
        <v>1680</v>
      </c>
      <c r="Q7" s="3471"/>
      <c r="R7" s="663" t="s">
        <v>14</v>
      </c>
      <c r="S7" s="664">
        <f t="shared" ref="S7:S15" si="0">F7</f>
        <v>0</v>
      </c>
      <c r="T7" s="663" t="s">
        <v>14</v>
      </c>
      <c r="U7" s="664">
        <f t="shared" ref="U7:U15" si="1">H7</f>
        <v>0</v>
      </c>
      <c r="V7" s="663" t="s">
        <v>14</v>
      </c>
      <c r="W7" s="664">
        <f t="shared" ref="W7:W15" si="2">J7</f>
        <v>0</v>
      </c>
      <c r="X7" s="665"/>
      <c r="Y7" s="3469" t="s">
        <v>1680</v>
      </c>
      <c r="Z7" s="3470"/>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69" t="s">
        <v>1683</v>
      </c>
      <c r="Q8" s="3470"/>
      <c r="R8" s="663" t="s">
        <v>14</v>
      </c>
      <c r="S8" s="664">
        <f t="shared" si="0"/>
        <v>100</v>
      </c>
      <c r="T8" s="663" t="s">
        <v>14</v>
      </c>
      <c r="U8" s="664">
        <f t="shared" si="1"/>
        <v>100</v>
      </c>
      <c r="V8" s="663" t="s">
        <v>14</v>
      </c>
      <c r="W8" s="664">
        <f t="shared" si="2"/>
        <v>100</v>
      </c>
      <c r="X8" s="665"/>
      <c r="Y8" s="3469" t="s">
        <v>1683</v>
      </c>
      <c r="Z8" s="3470"/>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34" t="s">
        <v>1686</v>
      </c>
      <c r="Q9" s="529" t="str">
        <f t="shared" ref="Q9:Q15" si="6">B9</f>
        <v>用途</v>
      </c>
      <c r="R9" s="663" t="s">
        <v>14</v>
      </c>
      <c r="S9" s="664">
        <f t="shared" si="0"/>
        <v>100</v>
      </c>
      <c r="T9" s="663" t="s">
        <v>14</v>
      </c>
      <c r="U9" s="664">
        <f t="shared" si="1"/>
        <v>100</v>
      </c>
      <c r="V9" s="663" t="s">
        <v>14</v>
      </c>
      <c r="W9" s="664">
        <f t="shared" si="2"/>
        <v>100</v>
      </c>
      <c r="X9" s="665"/>
      <c r="Y9" s="3309"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34"/>
      <c r="Q10" s="529" t="str">
        <f t="shared" si="6"/>
        <v>土地使用年限（年）</v>
      </c>
      <c r="R10" s="663" t="s">
        <v>14</v>
      </c>
      <c r="S10" s="664">
        <f t="shared" si="0"/>
        <v>100</v>
      </c>
      <c r="T10" s="663" t="s">
        <v>14</v>
      </c>
      <c r="U10" s="664">
        <f t="shared" si="1"/>
        <v>100</v>
      </c>
      <c r="V10" s="663" t="s">
        <v>14</v>
      </c>
      <c r="W10" s="664">
        <f t="shared" si="2"/>
        <v>100</v>
      </c>
      <c r="X10" s="665"/>
      <c r="Y10" s="3309"/>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34"/>
      <c r="Q11" s="529" t="str">
        <f t="shared" si="6"/>
        <v>容积率</v>
      </c>
      <c r="R11" s="663" t="s">
        <v>14</v>
      </c>
      <c r="S11" s="664">
        <f t="shared" si="0"/>
        <v>100</v>
      </c>
      <c r="T11" s="663" t="s">
        <v>14</v>
      </c>
      <c r="U11" s="664">
        <f t="shared" si="1"/>
        <v>100</v>
      </c>
      <c r="V11" s="663" t="s">
        <v>14</v>
      </c>
      <c r="W11" s="664">
        <f t="shared" si="2"/>
        <v>100</v>
      </c>
      <c r="X11" s="665"/>
      <c r="Y11" s="3309"/>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34"/>
      <c r="Q12" s="529">
        <f t="shared" si="6"/>
        <v>111</v>
      </c>
      <c r="R12" s="663" t="s">
        <v>14</v>
      </c>
      <c r="S12" s="664">
        <f t="shared" si="0"/>
        <v>100</v>
      </c>
      <c r="T12" s="663" t="s">
        <v>14</v>
      </c>
      <c r="U12" s="664">
        <f t="shared" si="1"/>
        <v>100</v>
      </c>
      <c r="V12" s="663" t="s">
        <v>14</v>
      </c>
      <c r="W12" s="664">
        <f t="shared" si="2"/>
        <v>100</v>
      </c>
      <c r="X12" s="665"/>
      <c r="Y12" s="330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34"/>
      <c r="Q13" s="529">
        <f t="shared" si="6"/>
        <v>111</v>
      </c>
      <c r="R13" s="663" t="s">
        <v>14</v>
      </c>
      <c r="S13" s="664">
        <f t="shared" si="0"/>
        <v>100</v>
      </c>
      <c r="T13" s="663" t="s">
        <v>14</v>
      </c>
      <c r="U13" s="664">
        <f t="shared" si="1"/>
        <v>100</v>
      </c>
      <c r="V13" s="663" t="s">
        <v>14</v>
      </c>
      <c r="W13" s="664">
        <f t="shared" si="2"/>
        <v>100</v>
      </c>
      <c r="X13" s="665"/>
      <c r="Y13" s="3309"/>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34"/>
      <c r="Q14" s="529">
        <f t="shared" si="6"/>
        <v>111</v>
      </c>
      <c r="R14" s="663" t="s">
        <v>14</v>
      </c>
      <c r="S14" s="664">
        <f t="shared" si="0"/>
        <v>100</v>
      </c>
      <c r="T14" s="663" t="s">
        <v>14</v>
      </c>
      <c r="U14" s="664">
        <f t="shared" si="1"/>
        <v>100</v>
      </c>
      <c r="V14" s="663" t="s">
        <v>14</v>
      </c>
      <c r="W14" s="664">
        <f t="shared" si="2"/>
        <v>100</v>
      </c>
      <c r="X14" s="665"/>
      <c r="Y14" s="3309"/>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36" t="s">
        <v>1691</v>
      </c>
      <c r="Q15" s="1261" t="str">
        <f t="shared" si="6"/>
        <v>产业集聚程度</v>
      </c>
      <c r="R15" s="666" t="s">
        <v>14</v>
      </c>
      <c r="S15" s="667">
        <f t="shared" si="0"/>
        <v>100</v>
      </c>
      <c r="T15" s="666" t="s">
        <v>14</v>
      </c>
      <c r="U15" s="667">
        <f t="shared" si="1"/>
        <v>100</v>
      </c>
      <c r="V15" s="666" t="s">
        <v>14</v>
      </c>
      <c r="W15" s="667">
        <f t="shared" si="2"/>
        <v>100</v>
      </c>
      <c r="X15" s="1263"/>
      <c r="Y15" s="3436"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37"/>
      <c r="Q16" s="1261"/>
      <c r="R16" s="666"/>
      <c r="S16" s="667"/>
      <c r="T16" s="666"/>
      <c r="U16" s="667"/>
      <c r="V16" s="666"/>
      <c r="W16" s="667"/>
      <c r="X16" s="1263"/>
      <c r="Y16" s="3437"/>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37"/>
      <c r="Q17" s="1261" t="str">
        <f>B17</f>
        <v>交通便捷度</v>
      </c>
      <c r="R17" s="666" t="s">
        <v>14</v>
      </c>
      <c r="S17" s="667">
        <f>F17</f>
        <v>100</v>
      </c>
      <c r="T17" s="666" t="s">
        <v>14</v>
      </c>
      <c r="U17" s="667">
        <f>H17</f>
        <v>100</v>
      </c>
      <c r="V17" s="666" t="s">
        <v>14</v>
      </c>
      <c r="W17" s="667">
        <f>J17</f>
        <v>100</v>
      </c>
      <c r="X17" s="1263"/>
      <c r="Y17" s="3437"/>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37"/>
      <c r="Q18" s="1261"/>
      <c r="R18" s="666"/>
      <c r="S18" s="667"/>
      <c r="T18" s="666"/>
      <c r="U18" s="667"/>
      <c r="V18" s="666"/>
      <c r="W18" s="667"/>
      <c r="X18" s="1263"/>
      <c r="Y18" s="3437"/>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37"/>
      <c r="Q19" s="1261" t="str">
        <f>B19</f>
        <v>公共配套设施</v>
      </c>
      <c r="R19" s="666" t="s">
        <v>14</v>
      </c>
      <c r="S19" s="667">
        <f>F19</f>
        <v>100</v>
      </c>
      <c r="T19" s="666" t="s">
        <v>14</v>
      </c>
      <c r="U19" s="667">
        <f>H19</f>
        <v>100</v>
      </c>
      <c r="V19" s="666" t="s">
        <v>14</v>
      </c>
      <c r="W19" s="667">
        <f>J19</f>
        <v>100</v>
      </c>
      <c r="X19" s="1263"/>
      <c r="Y19" s="3437"/>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37"/>
      <c r="Q20" s="1261"/>
      <c r="R20" s="666"/>
      <c r="S20" s="667"/>
      <c r="T20" s="666"/>
      <c r="U20" s="667"/>
      <c r="V20" s="666"/>
      <c r="W20" s="667"/>
      <c r="X20" s="1263"/>
      <c r="Y20" s="3437"/>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37"/>
      <c r="Q21" s="1261" t="str">
        <f>B21</f>
        <v>基础设施水平</v>
      </c>
      <c r="R21" s="666" t="s">
        <v>14</v>
      </c>
      <c r="S21" s="667">
        <f>F21</f>
        <v>100</v>
      </c>
      <c r="T21" s="666" t="s">
        <v>14</v>
      </c>
      <c r="U21" s="667">
        <f>H21</f>
        <v>100</v>
      </c>
      <c r="V21" s="666" t="s">
        <v>14</v>
      </c>
      <c r="W21" s="667">
        <f>J21</f>
        <v>100</v>
      </c>
      <c r="X21" s="1263"/>
      <c r="Y21" s="3437"/>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37"/>
      <c r="Q22" s="1261"/>
      <c r="R22" s="666"/>
      <c r="S22" s="667"/>
      <c r="T22" s="666"/>
      <c r="U22" s="667"/>
      <c r="V22" s="666"/>
      <c r="W22" s="667"/>
      <c r="X22" s="1263"/>
      <c r="Y22" s="3437"/>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37"/>
      <c r="Q23" s="1261" t="str">
        <f>B23</f>
        <v>环境质量</v>
      </c>
      <c r="R23" s="666" t="s">
        <v>14</v>
      </c>
      <c r="S23" s="667">
        <f>F23</f>
        <v>100</v>
      </c>
      <c r="T23" s="666" t="s">
        <v>14</v>
      </c>
      <c r="U23" s="667">
        <f>H23</f>
        <v>100</v>
      </c>
      <c r="V23" s="666" t="s">
        <v>14</v>
      </c>
      <c r="W23" s="667">
        <f>J23</f>
        <v>100</v>
      </c>
      <c r="X23" s="1263"/>
      <c r="Y23" s="3437"/>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37"/>
      <c r="Q24" s="1261"/>
      <c r="R24" s="666"/>
      <c r="S24" s="667"/>
      <c r="T24" s="666"/>
      <c r="U24" s="667"/>
      <c r="V24" s="666"/>
      <c r="W24" s="667"/>
      <c r="X24" s="1263"/>
      <c r="Y24" s="3437"/>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37"/>
      <c r="Q25" s="1261">
        <f>B25</f>
        <v>111</v>
      </c>
      <c r="R25" s="666" t="s">
        <v>14</v>
      </c>
      <c r="S25" s="667">
        <f>F25</f>
        <v>100</v>
      </c>
      <c r="T25" s="666" t="s">
        <v>14</v>
      </c>
      <c r="U25" s="667">
        <f>H25</f>
        <v>100</v>
      </c>
      <c r="V25" s="666" t="s">
        <v>14</v>
      </c>
      <c r="W25" s="667">
        <f>J25</f>
        <v>100</v>
      </c>
      <c r="X25" s="1263"/>
      <c r="Y25" s="3437"/>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37"/>
      <c r="Q26" s="1261">
        <f t="shared" ref="Q26:Q40" si="8">B26</f>
        <v>111</v>
      </c>
      <c r="R26" s="666" t="s">
        <v>14</v>
      </c>
      <c r="S26" s="667">
        <f>F26</f>
        <v>100</v>
      </c>
      <c r="T26" s="666" t="s">
        <v>14</v>
      </c>
      <c r="U26" s="667">
        <f>H26</f>
        <v>100</v>
      </c>
      <c r="V26" s="666" t="s">
        <v>14</v>
      </c>
      <c r="W26" s="667">
        <f>J26</f>
        <v>100</v>
      </c>
      <c r="X26" s="1263"/>
      <c r="Y26" s="3437"/>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37"/>
      <c r="Q27" s="529">
        <f t="shared" si="8"/>
        <v>111</v>
      </c>
      <c r="R27" s="663" t="s">
        <v>14</v>
      </c>
      <c r="S27" s="664">
        <f>F27</f>
        <v>100</v>
      </c>
      <c r="T27" s="663" t="s">
        <v>14</v>
      </c>
      <c r="U27" s="664">
        <f>H27</f>
        <v>100</v>
      </c>
      <c r="V27" s="663" t="s">
        <v>14</v>
      </c>
      <c r="W27" s="664">
        <f>J27</f>
        <v>100</v>
      </c>
      <c r="X27" s="665"/>
      <c r="Y27" s="3437"/>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37"/>
      <c r="Q28" s="1261">
        <f t="shared" si="8"/>
        <v>111</v>
      </c>
      <c r="R28" s="666" t="s">
        <v>14</v>
      </c>
      <c r="S28" s="667">
        <f t="shared" ref="S28:S40" si="9">F28</f>
        <v>100</v>
      </c>
      <c r="T28" s="666" t="s">
        <v>14</v>
      </c>
      <c r="U28" s="667">
        <f t="shared" ref="U28:U40" si="10">H28</f>
        <v>100</v>
      </c>
      <c r="V28" s="666" t="s">
        <v>14</v>
      </c>
      <c r="W28" s="667">
        <f t="shared" ref="W28:W40" si="11">J28</f>
        <v>100</v>
      </c>
      <c r="X28" s="1263"/>
      <c r="Y28" s="3437"/>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95" t="s">
        <v>1696</v>
      </c>
      <c r="Q29" s="1261" t="str">
        <f t="shared" si="8"/>
        <v>建筑类型</v>
      </c>
      <c r="R29" s="666" t="s">
        <v>14</v>
      </c>
      <c r="S29" s="667">
        <f t="shared" si="9"/>
        <v>100</v>
      </c>
      <c r="T29" s="666" t="s">
        <v>14</v>
      </c>
      <c r="U29" s="667">
        <f t="shared" si="10"/>
        <v>100</v>
      </c>
      <c r="V29" s="666" t="s">
        <v>14</v>
      </c>
      <c r="W29" s="667">
        <f t="shared" si="11"/>
        <v>100</v>
      </c>
      <c r="X29" s="1263"/>
      <c r="Y29" s="3441"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1"/>
      <c r="Q30" s="530" t="str">
        <f t="shared" si="8"/>
        <v>项目建筑规模</v>
      </c>
      <c r="R30" s="668" t="s">
        <v>14</v>
      </c>
      <c r="S30" s="669" t="e">
        <f t="shared" si="9"/>
        <v>#N/A</v>
      </c>
      <c r="T30" s="668" t="s">
        <v>14</v>
      </c>
      <c r="U30" s="669" t="e">
        <f t="shared" si="10"/>
        <v>#N/A</v>
      </c>
      <c r="V30" s="668" t="s">
        <v>14</v>
      </c>
      <c r="W30" s="669" t="e">
        <f t="shared" si="11"/>
        <v>#N/A</v>
      </c>
      <c r="X30" s="670"/>
      <c r="Y30" s="3441"/>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1"/>
      <c r="Q31" s="1261" t="str">
        <f t="shared" si="8"/>
        <v>建筑结构</v>
      </c>
      <c r="R31" s="666" t="s">
        <v>14</v>
      </c>
      <c r="S31" s="667">
        <f t="shared" si="9"/>
        <v>100</v>
      </c>
      <c r="T31" s="666" t="s">
        <v>14</v>
      </c>
      <c r="U31" s="667">
        <f t="shared" si="10"/>
        <v>100</v>
      </c>
      <c r="V31" s="666" t="s">
        <v>14</v>
      </c>
      <c r="W31" s="667">
        <f t="shared" si="11"/>
        <v>100</v>
      </c>
      <c r="X31" s="1263"/>
      <c r="Y31" s="3441"/>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1"/>
      <c r="Q32" s="1261" t="str">
        <f t="shared" si="8"/>
        <v>公共部分装修</v>
      </c>
      <c r="R32" s="666" t="s">
        <v>14</v>
      </c>
      <c r="S32" s="667">
        <f t="shared" si="9"/>
        <v>100</v>
      </c>
      <c r="T32" s="666" t="s">
        <v>14</v>
      </c>
      <c r="U32" s="667">
        <f t="shared" si="10"/>
        <v>100</v>
      </c>
      <c r="V32" s="666" t="s">
        <v>14</v>
      </c>
      <c r="W32" s="667">
        <f t="shared" si="11"/>
        <v>100</v>
      </c>
      <c r="X32" s="1263"/>
      <c r="Y32" s="3441"/>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1"/>
      <c r="Q33" s="1261" t="str">
        <f t="shared" si="8"/>
        <v>成新度</v>
      </c>
      <c r="R33" s="666" t="s">
        <v>14</v>
      </c>
      <c r="S33" s="667" t="e">
        <f t="shared" si="9"/>
        <v>#N/A</v>
      </c>
      <c r="T33" s="666" t="s">
        <v>14</v>
      </c>
      <c r="U33" s="667" t="e">
        <f t="shared" si="10"/>
        <v>#N/A</v>
      </c>
      <c r="V33" s="666" t="s">
        <v>14</v>
      </c>
      <c r="W33" s="667" t="e">
        <f t="shared" si="11"/>
        <v>#N/A</v>
      </c>
      <c r="X33" s="1263"/>
      <c r="Y33" s="3441"/>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1"/>
      <c r="Q34" s="529" t="str">
        <f t="shared" si="8"/>
        <v>物业管理</v>
      </c>
      <c r="R34" s="663" t="s">
        <v>14</v>
      </c>
      <c r="S34" s="664">
        <f t="shared" si="9"/>
        <v>100</v>
      </c>
      <c r="T34" s="663" t="s">
        <v>14</v>
      </c>
      <c r="U34" s="664">
        <f t="shared" si="10"/>
        <v>100</v>
      </c>
      <c r="V34" s="663" t="s">
        <v>14</v>
      </c>
      <c r="W34" s="664">
        <f t="shared" si="11"/>
        <v>100</v>
      </c>
      <c r="X34" s="665"/>
      <c r="Y34" s="3441"/>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1" t="s">
        <v>1696</v>
      </c>
      <c r="Q35" s="1261" t="str">
        <f t="shared" si="8"/>
        <v>市政基础设施</v>
      </c>
      <c r="R35" s="666" t="s">
        <v>14</v>
      </c>
      <c r="S35" s="667">
        <f t="shared" si="9"/>
        <v>100</v>
      </c>
      <c r="T35" s="666" t="s">
        <v>14</v>
      </c>
      <c r="U35" s="667">
        <f t="shared" si="10"/>
        <v>100</v>
      </c>
      <c r="V35" s="666" t="s">
        <v>14</v>
      </c>
      <c r="W35" s="667">
        <f t="shared" si="11"/>
        <v>100</v>
      </c>
      <c r="X35" s="1263"/>
      <c r="Y35" s="3441"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1"/>
      <c r="Q36" s="1261" t="str">
        <f t="shared" si="8"/>
        <v>内部装修</v>
      </c>
      <c r="R36" s="666" t="s">
        <v>14</v>
      </c>
      <c r="S36" s="667">
        <f t="shared" si="9"/>
        <v>100</v>
      </c>
      <c r="T36" s="666" t="s">
        <v>14</v>
      </c>
      <c r="U36" s="667">
        <f t="shared" si="10"/>
        <v>100</v>
      </c>
      <c r="V36" s="666" t="s">
        <v>14</v>
      </c>
      <c r="W36" s="667">
        <f t="shared" si="11"/>
        <v>100</v>
      </c>
      <c r="X36" s="1263"/>
      <c r="Y36" s="3441"/>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1"/>
      <c r="Q37" s="1261" t="str">
        <f t="shared" si="8"/>
        <v>内部装修状况</v>
      </c>
      <c r="R37" s="666" t="s">
        <v>14</v>
      </c>
      <c r="S37" s="667">
        <f t="shared" si="9"/>
        <v>100</v>
      </c>
      <c r="T37" s="666" t="s">
        <v>14</v>
      </c>
      <c r="U37" s="667">
        <f t="shared" si="10"/>
        <v>100</v>
      </c>
      <c r="V37" s="666" t="s">
        <v>14</v>
      </c>
      <c r="W37" s="667">
        <f t="shared" si="11"/>
        <v>100</v>
      </c>
      <c r="X37" s="1263"/>
      <c r="Y37" s="3441"/>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1"/>
      <c r="Q38" s="530">
        <f t="shared" si="8"/>
        <v>111</v>
      </c>
      <c r="R38" s="668" t="s">
        <v>14</v>
      </c>
      <c r="S38" s="669">
        <f t="shared" si="9"/>
        <v>100</v>
      </c>
      <c r="T38" s="668" t="s">
        <v>14</v>
      </c>
      <c r="U38" s="669">
        <f t="shared" si="10"/>
        <v>100</v>
      </c>
      <c r="V38" s="668" t="s">
        <v>14</v>
      </c>
      <c r="W38" s="669">
        <f t="shared" si="11"/>
        <v>100</v>
      </c>
      <c r="X38" s="670"/>
      <c r="Y38" s="3441"/>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1"/>
      <c r="Q39" s="1261">
        <f t="shared" si="8"/>
        <v>111</v>
      </c>
      <c r="R39" s="666" t="s">
        <v>14</v>
      </c>
      <c r="S39" s="667">
        <f t="shared" si="9"/>
        <v>100</v>
      </c>
      <c r="T39" s="666" t="s">
        <v>14</v>
      </c>
      <c r="U39" s="667">
        <f t="shared" si="10"/>
        <v>100</v>
      </c>
      <c r="V39" s="666" t="s">
        <v>14</v>
      </c>
      <c r="W39" s="667">
        <f t="shared" si="11"/>
        <v>100</v>
      </c>
      <c r="X39" s="1263"/>
      <c r="Y39" s="3441"/>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2"/>
      <c r="Q40" s="1261">
        <f t="shared" si="8"/>
        <v>111</v>
      </c>
      <c r="R40" s="666" t="s">
        <v>14</v>
      </c>
      <c r="S40" s="667">
        <f t="shared" si="9"/>
        <v>100</v>
      </c>
      <c r="T40" s="666" t="s">
        <v>14</v>
      </c>
      <c r="U40" s="667">
        <f t="shared" si="10"/>
        <v>100</v>
      </c>
      <c r="V40" s="666" t="s">
        <v>14</v>
      </c>
      <c r="W40" s="667">
        <f t="shared" si="11"/>
        <v>100</v>
      </c>
      <c r="X40" s="1263"/>
      <c r="Y40" s="3442"/>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34" t="str">
        <f>A41</f>
        <v>成交单价（元/平方米）</v>
      </c>
      <c r="Q41" s="3434"/>
      <c r="R41" s="3435">
        <f>E41</f>
        <v>0</v>
      </c>
      <c r="S41" s="3435"/>
      <c r="T41" s="3435">
        <f>G41</f>
        <v>0</v>
      </c>
      <c r="U41" s="3435"/>
      <c r="V41" s="3435">
        <f>I41</f>
        <v>0</v>
      </c>
      <c r="W41" s="3435"/>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34" t="str">
        <f>A42</f>
        <v>比较价值（元/平方米）</v>
      </c>
      <c r="Q42" s="3434"/>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31" t="str">
        <f>A43</f>
        <v>估价对象XX用房的比较价值（楼面单价，元/平方米）</v>
      </c>
      <c r="Q43" s="3432"/>
      <c r="R43" s="3433" t="e">
        <f>IF(F1="售价",ROUND(IF(D42="简单平均",AVERAGE(R42:V42),R42*F42+T42*H42+V42*J42),0),ROUND(IF(D42="简单平均",AVERAGE(R42:V42),R42*F42+T42*H42+V42*J42),1))</f>
        <v>#DIV/0!</v>
      </c>
      <c r="S43" s="3433"/>
      <c r="T43" s="3433"/>
      <c r="U43" s="3433"/>
      <c r="V43" s="3433"/>
      <c r="W43" s="3433"/>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2024-12</v>
      </c>
      <c r="D52" s="1102">
        <f>EDATE(C52,-1)</f>
        <v>45597</v>
      </c>
      <c r="E52" s="1102">
        <f t="shared" ref="E52:O52" si="13">EDATE(D52,-1)</f>
        <v>45566</v>
      </c>
      <c r="F52" s="1102">
        <f t="shared" si="13"/>
        <v>45536</v>
      </c>
      <c r="G52" s="1102">
        <f t="shared" si="13"/>
        <v>45505</v>
      </c>
      <c r="H52" s="1102">
        <f t="shared" si="13"/>
        <v>45474</v>
      </c>
      <c r="I52" s="1102">
        <f t="shared" si="13"/>
        <v>45444</v>
      </c>
      <c r="J52" s="1102">
        <f t="shared" si="13"/>
        <v>45413</v>
      </c>
      <c r="K52" s="1102">
        <f t="shared" si="13"/>
        <v>45383</v>
      </c>
      <c r="L52" s="1102">
        <f t="shared" si="13"/>
        <v>45352</v>
      </c>
      <c r="M52" s="1102">
        <f t="shared" si="13"/>
        <v>45323</v>
      </c>
      <c r="N52" s="1102">
        <f t="shared" si="13"/>
        <v>45292</v>
      </c>
      <c r="O52" s="1102">
        <f t="shared" si="13"/>
        <v>45261</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49" t="s">
        <v>1767</v>
      </c>
      <c r="D4" s="3450"/>
      <c r="E4" s="3451" t="s">
        <v>1768</v>
      </c>
      <c r="F4" s="3452"/>
      <c r="G4" s="3449" t="s">
        <v>1769</v>
      </c>
      <c r="H4" s="3450"/>
      <c r="I4" s="3449" t="s">
        <v>1770</v>
      </c>
      <c r="J4" s="3450"/>
      <c r="K4" s="536" t="s">
        <v>1771</v>
      </c>
      <c r="L4" s="2481"/>
      <c r="M4" s="2482"/>
      <c r="N4" s="2482"/>
      <c r="O4" s="2482"/>
      <c r="P4" s="3453" t="s">
        <v>1772</v>
      </c>
      <c r="Q4" s="3454"/>
      <c r="R4" s="3459" t="s">
        <v>1768</v>
      </c>
      <c r="S4" s="3460"/>
      <c r="T4" s="3459" t="s">
        <v>1769</v>
      </c>
      <c r="U4" s="3460"/>
      <c r="V4" s="3435" t="s">
        <v>1770</v>
      </c>
      <c r="W4" s="3435"/>
      <c r="X4" s="1263"/>
      <c r="Y4" s="3459" t="s">
        <v>1772</v>
      </c>
      <c r="Z4" s="3460"/>
      <c r="AA4" s="3446" t="s">
        <v>1768</v>
      </c>
      <c r="AB4" s="3447" t="s">
        <v>1769</v>
      </c>
      <c r="AC4" s="3446" t="s">
        <v>1770</v>
      </c>
    </row>
    <row r="5" spans="1:29" ht="15">
      <c r="A5" s="347"/>
      <c r="B5" s="348"/>
      <c r="C5" s="3478" t="s">
        <v>1673</v>
      </c>
      <c r="D5" s="3473"/>
      <c r="E5" s="3479" t="s">
        <v>1674</v>
      </c>
      <c r="F5" s="3477"/>
      <c r="G5" s="3478" t="s">
        <v>1675</v>
      </c>
      <c r="H5" s="3473"/>
      <c r="I5" s="3478" t="s">
        <v>1676</v>
      </c>
      <c r="J5" s="3473"/>
      <c r="K5" s="536"/>
      <c r="L5" s="2481"/>
      <c r="M5" s="2482"/>
      <c r="N5" s="2482"/>
      <c r="O5" s="2482"/>
      <c r="P5" s="3455"/>
      <c r="Q5" s="3456"/>
      <c r="R5" s="3461"/>
      <c r="S5" s="3462"/>
      <c r="T5" s="3461"/>
      <c r="U5" s="3462"/>
      <c r="V5" s="3435"/>
      <c r="W5" s="3435"/>
      <c r="X5" s="1263"/>
      <c r="Y5" s="3461"/>
      <c r="Z5" s="3462"/>
      <c r="AA5" s="3447"/>
      <c r="AB5" s="3447"/>
      <c r="AC5" s="3447"/>
    </row>
    <row r="6" spans="1:29" ht="15.75" thickBot="1">
      <c r="A6" s="349"/>
      <c r="B6" s="350"/>
      <c r="C6" s="3465" t="s">
        <v>1677</v>
      </c>
      <c r="D6" s="3466"/>
      <c r="E6" s="3474" t="s">
        <v>1677</v>
      </c>
      <c r="F6" s="3475"/>
      <c r="G6" s="3465" t="s">
        <v>1677</v>
      </c>
      <c r="H6" s="3466"/>
      <c r="I6" s="3465" t="s">
        <v>1677</v>
      </c>
      <c r="J6" s="3466"/>
      <c r="K6" s="536" t="s">
        <v>1678</v>
      </c>
      <c r="L6" s="2481"/>
      <c r="M6" s="2482"/>
      <c r="N6" s="2482"/>
      <c r="O6" s="2482"/>
      <c r="P6" s="3457"/>
      <c r="Q6" s="3458"/>
      <c r="R6" s="3461"/>
      <c r="S6" s="3462"/>
      <c r="T6" s="3463"/>
      <c r="U6" s="3464"/>
      <c r="V6" s="3435"/>
      <c r="W6" s="3435"/>
      <c r="X6" s="1263"/>
      <c r="Y6" s="3463"/>
      <c r="Z6" s="3464"/>
      <c r="AA6" s="3448"/>
      <c r="AB6" s="3448"/>
      <c r="AC6" s="3448"/>
    </row>
    <row r="7" spans="1:29" s="101" customFormat="1" ht="15.75" thickBot="1">
      <c r="A7" s="351" t="s">
        <v>1679</v>
      </c>
      <c r="B7" s="352"/>
      <c r="C7" s="353">
        <f>'数据-取费表'!B2</f>
        <v>45652</v>
      </c>
      <c r="D7" s="354">
        <v>100</v>
      </c>
      <c r="E7" s="355"/>
      <c r="F7" s="356">
        <f>SUMIF(48:48,YEAR(E7)&amp;"-"&amp;MONTH(E7),49:49)</f>
        <v>0</v>
      </c>
      <c r="G7" s="355"/>
      <c r="H7" s="354">
        <f>SUMIF(48:48,YEAR(G7)&amp;"-"&amp;MONTH(G7),49:49)</f>
        <v>0</v>
      </c>
      <c r="I7" s="355"/>
      <c r="J7" s="354">
        <f>SUMIF(48:48,YEAR(I7)&amp;"-"&amp;MONTH(I7),49:49)</f>
        <v>0</v>
      </c>
      <c r="K7" s="38"/>
      <c r="L7" s="2483"/>
      <c r="M7" s="2434"/>
      <c r="N7" s="2434"/>
      <c r="O7" s="2434"/>
      <c r="P7" s="3469" t="s">
        <v>1680</v>
      </c>
      <c r="Q7" s="3471"/>
      <c r="R7" s="663" t="s">
        <v>14</v>
      </c>
      <c r="S7" s="664">
        <f t="shared" ref="S7:S14" si="0">F7</f>
        <v>0</v>
      </c>
      <c r="T7" s="663" t="s">
        <v>14</v>
      </c>
      <c r="U7" s="664">
        <f t="shared" ref="U7:U14" si="1">H7</f>
        <v>0</v>
      </c>
      <c r="V7" s="663" t="s">
        <v>14</v>
      </c>
      <c r="W7" s="664">
        <f t="shared" ref="W7:W14" si="2">J7</f>
        <v>0</v>
      </c>
      <c r="X7" s="665"/>
      <c r="Y7" s="3469" t="s">
        <v>1680</v>
      </c>
      <c r="Z7" s="3470"/>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69" t="s">
        <v>1683</v>
      </c>
      <c r="Q8" s="3470"/>
      <c r="R8" s="663" t="s">
        <v>14</v>
      </c>
      <c r="S8" s="664">
        <f t="shared" si="0"/>
        <v>100</v>
      </c>
      <c r="T8" s="663" t="s">
        <v>14</v>
      </c>
      <c r="U8" s="664">
        <f t="shared" si="1"/>
        <v>100</v>
      </c>
      <c r="V8" s="663" t="s">
        <v>14</v>
      </c>
      <c r="W8" s="664">
        <f t="shared" si="2"/>
        <v>100</v>
      </c>
      <c r="X8" s="665"/>
      <c r="Y8" s="3469" t="s">
        <v>1683</v>
      </c>
      <c r="Z8" s="3470"/>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34" t="s">
        <v>1686</v>
      </c>
      <c r="Q9" s="529" t="str">
        <f t="shared" ref="Q9:Q14" si="6">B9</f>
        <v>用途</v>
      </c>
      <c r="R9" s="663" t="s">
        <v>14</v>
      </c>
      <c r="S9" s="664">
        <f t="shared" si="0"/>
        <v>100</v>
      </c>
      <c r="T9" s="663" t="s">
        <v>14</v>
      </c>
      <c r="U9" s="664">
        <f t="shared" si="1"/>
        <v>100</v>
      </c>
      <c r="V9" s="663" t="s">
        <v>14</v>
      </c>
      <c r="W9" s="664">
        <f t="shared" si="2"/>
        <v>100</v>
      </c>
      <c r="X9" s="665"/>
      <c r="Y9" s="3309"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34"/>
      <c r="Q10" s="529" t="str">
        <f t="shared" si="6"/>
        <v>土地使用年限（年）</v>
      </c>
      <c r="R10" s="663" t="s">
        <v>14</v>
      </c>
      <c r="S10" s="664">
        <f t="shared" si="0"/>
        <v>100</v>
      </c>
      <c r="T10" s="663" t="s">
        <v>14</v>
      </c>
      <c r="U10" s="664">
        <f t="shared" si="1"/>
        <v>100</v>
      </c>
      <c r="V10" s="663" t="s">
        <v>14</v>
      </c>
      <c r="W10" s="664">
        <f t="shared" si="2"/>
        <v>100</v>
      </c>
      <c r="X10" s="665"/>
      <c r="Y10" s="3309"/>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34"/>
      <c r="Q11" s="529">
        <f t="shared" si="6"/>
        <v>111</v>
      </c>
      <c r="R11" s="663" t="s">
        <v>14</v>
      </c>
      <c r="S11" s="664">
        <f t="shared" si="0"/>
        <v>100</v>
      </c>
      <c r="T11" s="663" t="s">
        <v>14</v>
      </c>
      <c r="U11" s="664">
        <f t="shared" si="1"/>
        <v>100</v>
      </c>
      <c r="V11" s="663" t="s">
        <v>14</v>
      </c>
      <c r="W11" s="664">
        <f t="shared" si="2"/>
        <v>100</v>
      </c>
      <c r="X11" s="665"/>
      <c r="Y11" s="3309"/>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34"/>
      <c r="Q12" s="529">
        <f t="shared" si="6"/>
        <v>111</v>
      </c>
      <c r="R12" s="663" t="s">
        <v>14</v>
      </c>
      <c r="S12" s="664">
        <f t="shared" si="0"/>
        <v>100</v>
      </c>
      <c r="T12" s="663" t="s">
        <v>14</v>
      </c>
      <c r="U12" s="664">
        <f t="shared" si="1"/>
        <v>100</v>
      </c>
      <c r="V12" s="663" t="s">
        <v>14</v>
      </c>
      <c r="W12" s="664">
        <f t="shared" si="2"/>
        <v>100</v>
      </c>
      <c r="X12" s="665"/>
      <c r="Y12" s="3309"/>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34"/>
      <c r="Q13" s="529">
        <f t="shared" si="6"/>
        <v>111</v>
      </c>
      <c r="R13" s="663" t="s">
        <v>14</v>
      </c>
      <c r="S13" s="664">
        <f t="shared" si="0"/>
        <v>100</v>
      </c>
      <c r="T13" s="663" t="s">
        <v>14</v>
      </c>
      <c r="U13" s="664">
        <f t="shared" si="1"/>
        <v>100</v>
      </c>
      <c r="V13" s="663" t="s">
        <v>14</v>
      </c>
      <c r="W13" s="664">
        <f t="shared" si="2"/>
        <v>100</v>
      </c>
      <c r="X13" s="665"/>
      <c r="Y13" s="3309"/>
      <c r="Z13" s="50">
        <f t="shared" si="7"/>
        <v>111</v>
      </c>
      <c r="AA13" s="50">
        <f t="shared" si="3"/>
        <v>1</v>
      </c>
      <c r="AB13" s="50">
        <f t="shared" si="4"/>
        <v>1</v>
      </c>
      <c r="AC13" s="50">
        <f t="shared" si="5"/>
        <v>1</v>
      </c>
    </row>
    <row r="14" spans="1:29" ht="99.75">
      <c r="A14" s="344" t="s">
        <v>1690</v>
      </c>
      <c r="B14" s="553" t="s">
        <v>1830</v>
      </c>
      <c r="C14" s="1814" t="str">
        <f>IF(B1="工业",估价对象房地状况!G4,估价对象房地状况!C6)</f>
        <v>周边有537路、643路、905路等多条公交线路，紧邻城市支路——爱博路，综合评价交通便捷度一般</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36" t="s">
        <v>1691</v>
      </c>
      <c r="Q14" s="1261" t="str">
        <f t="shared" si="6"/>
        <v>交通便捷度</v>
      </c>
      <c r="R14" s="666" t="s">
        <v>14</v>
      </c>
      <c r="S14" s="667">
        <f t="shared" si="0"/>
        <v>100</v>
      </c>
      <c r="T14" s="666" t="s">
        <v>14</v>
      </c>
      <c r="U14" s="667">
        <f t="shared" si="1"/>
        <v>100</v>
      </c>
      <c r="V14" s="666" t="s">
        <v>14</v>
      </c>
      <c r="W14" s="667">
        <f t="shared" si="2"/>
        <v>100</v>
      </c>
      <c r="X14" s="1263"/>
      <c r="Y14" s="3436"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37"/>
      <c r="Q15" s="1261"/>
      <c r="R15" s="666"/>
      <c r="S15" s="667"/>
      <c r="T15" s="666"/>
      <c r="U15" s="667"/>
      <c r="V15" s="666"/>
      <c r="W15" s="667"/>
      <c r="X15" s="1263"/>
      <c r="Y15" s="3437"/>
      <c r="Z15" s="1262"/>
      <c r="AA15" s="1262">
        <v>1</v>
      </c>
      <c r="AB15" s="1262">
        <v>1</v>
      </c>
      <c r="AC15" s="1262">
        <v>1</v>
      </c>
    </row>
    <row r="16" spans="1:29" ht="199.5">
      <c r="A16" s="347"/>
      <c r="B16" s="555" t="s">
        <v>1809</v>
      </c>
      <c r="C16" s="1751" t="str">
        <f>IF(B1="工业",估价对象房地状况!G5,估价对象房地状况!C7)</f>
        <v>医院：北京太阳城医院医院等医疗机构；
学校：北京商业学校昌平校区、北京师范大学亚太实验学校等教育机构；
商业：和鑫来生活超市等商业设施；
综合评价公共服务设施齐备度一般。</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37"/>
      <c r="Q16" s="1261" t="str">
        <f>B16</f>
        <v>公共配套设施</v>
      </c>
      <c r="R16" s="666" t="s">
        <v>14</v>
      </c>
      <c r="S16" s="667">
        <f>F16</f>
        <v>100</v>
      </c>
      <c r="T16" s="666" t="s">
        <v>14</v>
      </c>
      <c r="U16" s="667">
        <f>H16</f>
        <v>100</v>
      </c>
      <c r="V16" s="666" t="s">
        <v>14</v>
      </c>
      <c r="W16" s="667">
        <f>J16</f>
        <v>100</v>
      </c>
      <c r="X16" s="1263"/>
      <c r="Y16" s="3437"/>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37"/>
      <c r="Q17" s="1261"/>
      <c r="R17" s="666"/>
      <c r="S17" s="667"/>
      <c r="T17" s="666"/>
      <c r="U17" s="667"/>
      <c r="V17" s="666"/>
      <c r="W17" s="667"/>
      <c r="X17" s="1263"/>
      <c r="Y17" s="3437"/>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37"/>
      <c r="Q18" s="1261" t="str">
        <f>B18</f>
        <v>基础设施水平</v>
      </c>
      <c r="R18" s="666" t="s">
        <v>14</v>
      </c>
      <c r="S18" s="667">
        <f>F18</f>
        <v>100</v>
      </c>
      <c r="T18" s="666" t="s">
        <v>14</v>
      </c>
      <c r="U18" s="667">
        <f>H18</f>
        <v>100</v>
      </c>
      <c r="V18" s="666" t="s">
        <v>14</v>
      </c>
      <c r="W18" s="667">
        <f>J18</f>
        <v>100</v>
      </c>
      <c r="X18" s="1263"/>
      <c r="Y18" s="3437"/>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37"/>
      <c r="Q19" s="1261"/>
      <c r="R19" s="666"/>
      <c r="S19" s="667"/>
      <c r="T19" s="666"/>
      <c r="U19" s="667"/>
      <c r="V19" s="666"/>
      <c r="W19" s="667"/>
      <c r="X19" s="1263"/>
      <c r="Y19" s="3437"/>
      <c r="Z19" s="1262"/>
      <c r="AA19" s="1262">
        <v>1</v>
      </c>
      <c r="AB19" s="1262">
        <v>1</v>
      </c>
      <c r="AC19" s="1262">
        <v>1</v>
      </c>
    </row>
    <row r="20" spans="1:29" ht="71.25">
      <c r="A20" s="347"/>
      <c r="B20" s="555" t="s">
        <v>1831</v>
      </c>
      <c r="C20" s="1751" t="str">
        <f>IF(B1="工业",估价对象房地状况!G7,估价对象房地状况!C9)</f>
        <v>自然环境：温榆河水系等自然及人文景观；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37"/>
      <c r="Q20" s="1261" t="str">
        <f>B20</f>
        <v>自然及人文环境</v>
      </c>
      <c r="R20" s="666" t="s">
        <v>14</v>
      </c>
      <c r="S20" s="667">
        <f>F20</f>
        <v>100</v>
      </c>
      <c r="T20" s="666" t="s">
        <v>14</v>
      </c>
      <c r="U20" s="667">
        <f>H20</f>
        <v>100</v>
      </c>
      <c r="V20" s="666" t="s">
        <v>14</v>
      </c>
      <c r="W20" s="667">
        <f>J20</f>
        <v>100</v>
      </c>
      <c r="X20" s="1263"/>
      <c r="Y20" s="3437"/>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37"/>
      <c r="Q21" s="1261"/>
      <c r="R21" s="666"/>
      <c r="S21" s="667"/>
      <c r="T21" s="666"/>
      <c r="U21" s="667"/>
      <c r="V21" s="666"/>
      <c r="W21" s="667"/>
      <c r="X21" s="1263"/>
      <c r="Y21" s="3437"/>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37"/>
      <c r="Q22" s="1261" t="str">
        <f>B22</f>
        <v>楼层</v>
      </c>
      <c r="R22" s="666" t="s">
        <v>14</v>
      </c>
      <c r="S22" s="667">
        <f>F22</f>
        <v>100</v>
      </c>
      <c r="T22" s="666" t="s">
        <v>14</v>
      </c>
      <c r="U22" s="667">
        <f>H22</f>
        <v>100</v>
      </c>
      <c r="V22" s="666" t="s">
        <v>14</v>
      </c>
      <c r="W22" s="667">
        <f>J22</f>
        <v>100</v>
      </c>
      <c r="X22" s="1263"/>
      <c r="Y22" s="3437"/>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37"/>
      <c r="Q23" s="1261">
        <f>B23</f>
        <v>111</v>
      </c>
      <c r="R23" s="666" t="s">
        <v>14</v>
      </c>
      <c r="S23" s="667">
        <f>F23</f>
        <v>100</v>
      </c>
      <c r="T23" s="666" t="s">
        <v>14</v>
      </c>
      <c r="U23" s="667">
        <f>H23</f>
        <v>100</v>
      </c>
      <c r="V23" s="666" t="s">
        <v>14</v>
      </c>
      <c r="W23" s="667">
        <f>J23</f>
        <v>100</v>
      </c>
      <c r="X23" s="1263"/>
      <c r="Y23" s="3437"/>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37"/>
      <c r="Q24" s="1261">
        <f t="shared" ref="Q24:Q36" si="8">B24</f>
        <v>111</v>
      </c>
      <c r="R24" s="666" t="s">
        <v>14</v>
      </c>
      <c r="S24" s="667">
        <f>F24</f>
        <v>100</v>
      </c>
      <c r="T24" s="666" t="s">
        <v>14</v>
      </c>
      <c r="U24" s="667">
        <f>H24</f>
        <v>100</v>
      </c>
      <c r="V24" s="666" t="s">
        <v>14</v>
      </c>
      <c r="W24" s="667">
        <f>J24</f>
        <v>100</v>
      </c>
      <c r="X24" s="1263"/>
      <c r="Y24" s="3437"/>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37"/>
      <c r="Q25" s="529">
        <f t="shared" si="8"/>
        <v>111</v>
      </c>
      <c r="R25" s="663" t="s">
        <v>14</v>
      </c>
      <c r="S25" s="664">
        <f>F25</f>
        <v>100</v>
      </c>
      <c r="T25" s="663" t="s">
        <v>14</v>
      </c>
      <c r="U25" s="664">
        <f>H25</f>
        <v>100</v>
      </c>
      <c r="V25" s="663" t="s">
        <v>14</v>
      </c>
      <c r="W25" s="664">
        <f>J25</f>
        <v>100</v>
      </c>
      <c r="X25" s="665"/>
      <c r="Y25" s="3437"/>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95"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41"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41"/>
      <c r="Q27" s="530" t="str">
        <f t="shared" si="8"/>
        <v>项目停车位配比</v>
      </c>
      <c r="R27" s="668" t="s">
        <v>14</v>
      </c>
      <c r="S27" s="669">
        <f t="shared" si="9"/>
        <v>100</v>
      </c>
      <c r="T27" s="668" t="s">
        <v>14</v>
      </c>
      <c r="U27" s="669">
        <f t="shared" si="10"/>
        <v>100</v>
      </c>
      <c r="V27" s="668" t="s">
        <v>14</v>
      </c>
      <c r="W27" s="669">
        <f t="shared" si="11"/>
        <v>100</v>
      </c>
      <c r="X27" s="670"/>
      <c r="Y27" s="3441"/>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41"/>
      <c r="Q28" s="1261" t="str">
        <f t="shared" si="8"/>
        <v>公共部分装修</v>
      </c>
      <c r="R28" s="666" t="s">
        <v>14</v>
      </c>
      <c r="S28" s="667">
        <f t="shared" si="9"/>
        <v>100</v>
      </c>
      <c r="T28" s="666" t="s">
        <v>14</v>
      </c>
      <c r="U28" s="667">
        <f t="shared" si="10"/>
        <v>100</v>
      </c>
      <c r="V28" s="666" t="s">
        <v>14</v>
      </c>
      <c r="W28" s="667">
        <f t="shared" si="11"/>
        <v>100</v>
      </c>
      <c r="X28" s="1263"/>
      <c r="Y28" s="3441"/>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41"/>
      <c r="Q29" s="1261" t="str">
        <f t="shared" si="8"/>
        <v>成新率</v>
      </c>
      <c r="R29" s="666" t="s">
        <v>14</v>
      </c>
      <c r="S29" s="667" t="e">
        <f t="shared" si="9"/>
        <v>#N/A</v>
      </c>
      <c r="T29" s="666" t="s">
        <v>14</v>
      </c>
      <c r="U29" s="667" t="e">
        <f t="shared" si="10"/>
        <v>#N/A</v>
      </c>
      <c r="V29" s="666" t="s">
        <v>14</v>
      </c>
      <c r="W29" s="667" t="e">
        <f t="shared" si="11"/>
        <v>#N/A</v>
      </c>
      <c r="X29" s="1263"/>
      <c r="Y29" s="3441"/>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41"/>
      <c r="Q30" s="1261" t="str">
        <f t="shared" si="8"/>
        <v>物业等级</v>
      </c>
      <c r="R30" s="666" t="s">
        <v>14</v>
      </c>
      <c r="S30" s="667">
        <f t="shared" si="9"/>
        <v>100</v>
      </c>
      <c r="T30" s="666" t="s">
        <v>14</v>
      </c>
      <c r="U30" s="667">
        <f t="shared" si="10"/>
        <v>100</v>
      </c>
      <c r="V30" s="666" t="s">
        <v>14</v>
      </c>
      <c r="W30" s="667">
        <f t="shared" si="11"/>
        <v>100</v>
      </c>
      <c r="X30" s="1263"/>
      <c r="Y30" s="3441"/>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41"/>
      <c r="Q31" s="529" t="str">
        <f t="shared" si="8"/>
        <v>停车位面积</v>
      </c>
      <c r="R31" s="663" t="s">
        <v>14</v>
      </c>
      <c r="S31" s="664" t="e">
        <f t="shared" si="9"/>
        <v>#N/A</v>
      </c>
      <c r="T31" s="663" t="s">
        <v>14</v>
      </c>
      <c r="U31" s="664" t="e">
        <f t="shared" si="10"/>
        <v>#N/A</v>
      </c>
      <c r="V31" s="663" t="s">
        <v>14</v>
      </c>
      <c r="W31" s="664" t="e">
        <f t="shared" si="11"/>
        <v>#N/A</v>
      </c>
      <c r="X31" s="665"/>
      <c r="Y31" s="3441"/>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41" t="s">
        <v>1696</v>
      </c>
      <c r="Q32" s="1261" t="str">
        <f t="shared" si="8"/>
        <v>车位类型</v>
      </c>
      <c r="R32" s="666" t="s">
        <v>14</v>
      </c>
      <c r="S32" s="667">
        <f t="shared" si="9"/>
        <v>100</v>
      </c>
      <c r="T32" s="666" t="s">
        <v>14</v>
      </c>
      <c r="U32" s="667">
        <f t="shared" si="10"/>
        <v>100</v>
      </c>
      <c r="V32" s="666" t="s">
        <v>14</v>
      </c>
      <c r="W32" s="667">
        <f t="shared" si="11"/>
        <v>100</v>
      </c>
      <c r="X32" s="1263"/>
      <c r="Y32" s="3441"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41"/>
      <c r="Q33" s="1261" t="str">
        <f t="shared" si="8"/>
        <v>是否直接入户</v>
      </c>
      <c r="R33" s="666" t="s">
        <v>14</v>
      </c>
      <c r="S33" s="667">
        <f t="shared" si="9"/>
        <v>100</v>
      </c>
      <c r="T33" s="666" t="s">
        <v>14</v>
      </c>
      <c r="U33" s="667">
        <f t="shared" si="10"/>
        <v>100</v>
      </c>
      <c r="V33" s="666" t="s">
        <v>14</v>
      </c>
      <c r="W33" s="667">
        <f t="shared" si="11"/>
        <v>100</v>
      </c>
      <c r="X33" s="1263"/>
      <c r="Y33" s="3441"/>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41"/>
      <c r="Q34" s="1261">
        <f t="shared" si="8"/>
        <v>111</v>
      </c>
      <c r="R34" s="666" t="s">
        <v>14</v>
      </c>
      <c r="S34" s="667">
        <f t="shared" si="9"/>
        <v>100</v>
      </c>
      <c r="T34" s="666" t="s">
        <v>14</v>
      </c>
      <c r="U34" s="667">
        <f t="shared" si="10"/>
        <v>100</v>
      </c>
      <c r="V34" s="666" t="s">
        <v>14</v>
      </c>
      <c r="W34" s="667">
        <f t="shared" si="11"/>
        <v>100</v>
      </c>
      <c r="X34" s="1263"/>
      <c r="Y34" s="3441"/>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41"/>
      <c r="Q35" s="530">
        <f t="shared" si="8"/>
        <v>111</v>
      </c>
      <c r="R35" s="668" t="s">
        <v>14</v>
      </c>
      <c r="S35" s="669">
        <f t="shared" si="9"/>
        <v>100</v>
      </c>
      <c r="T35" s="668" t="s">
        <v>14</v>
      </c>
      <c r="U35" s="669">
        <f t="shared" si="10"/>
        <v>100</v>
      </c>
      <c r="V35" s="668" t="s">
        <v>14</v>
      </c>
      <c r="W35" s="669">
        <f t="shared" si="11"/>
        <v>100</v>
      </c>
      <c r="X35" s="670"/>
      <c r="Y35" s="3441"/>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41"/>
      <c r="Q36" s="1261">
        <f t="shared" si="8"/>
        <v>111</v>
      </c>
      <c r="R36" s="666" t="s">
        <v>14</v>
      </c>
      <c r="S36" s="667">
        <f t="shared" si="9"/>
        <v>100</v>
      </c>
      <c r="T36" s="666" t="s">
        <v>14</v>
      </c>
      <c r="U36" s="667">
        <f t="shared" si="10"/>
        <v>100</v>
      </c>
      <c r="V36" s="666" t="s">
        <v>14</v>
      </c>
      <c r="W36" s="667">
        <f t="shared" si="11"/>
        <v>100</v>
      </c>
      <c r="X36" s="1263"/>
      <c r="Y36" s="3441"/>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34" t="str">
        <f>A37</f>
        <v>成交单价</v>
      </c>
      <c r="Q37" s="3434"/>
      <c r="R37" s="3435">
        <f>E37</f>
        <v>0</v>
      </c>
      <c r="S37" s="3435"/>
      <c r="T37" s="3435">
        <f>G37</f>
        <v>0</v>
      </c>
      <c r="U37" s="3435"/>
      <c r="V37" s="3435">
        <f>I37</f>
        <v>0</v>
      </c>
      <c r="W37" s="3435"/>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34" t="str">
        <f>A38</f>
        <v>比较价值（元/平方米）</v>
      </c>
      <c r="Q38" s="3434"/>
      <c r="R38" s="3435" t="e">
        <f>IF(F1="售价",ROUND(PRODUCT(R37,AA7:AA36),0),ROUND(PRODUCT(R37,AA7:AA36),1))</f>
        <v>#DIV/0!</v>
      </c>
      <c r="S38" s="3435"/>
      <c r="T38" s="3435" t="e">
        <f>IF(F1="售价",ROUND(PRODUCT(T37,AB7:AB36),0),ROUND(PRODUCT(T37,AB7:AB36),1))</f>
        <v>#DIV/0!</v>
      </c>
      <c r="U38" s="3435"/>
      <c r="V38" s="3435" t="e">
        <f>IF(F1="售价",ROUND(PRODUCT(V37,AC7:AC36),0),ROUND(PRODUCT(V37,AC7:AC36),1))</f>
        <v>#DIV/0!</v>
      </c>
      <c r="W38" s="3435"/>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31" t="str">
        <f>A39</f>
        <v>估价对象XX用房的比较价值（楼面单价，元/平方米）</v>
      </c>
      <c r="Q39" s="3432"/>
      <c r="R39" s="3496" t="e">
        <f>IF(F1="售价",ROUND(IF(D38="简单平均",AVERAGE(R38:W38),R38*F38+T38*H38+V38*J38),0),ROUND(IF(D38="简单平均",AVERAGE(R38:V38),R38*F38+T38*H38+V38*J38),1))</f>
        <v>#DIV/0!</v>
      </c>
      <c r="S39" s="3496"/>
      <c r="T39" s="3496"/>
      <c r="U39" s="3496"/>
      <c r="V39" s="3496"/>
      <c r="W39" s="3496"/>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2024-12</v>
      </c>
      <c r="D48" s="1102">
        <f>EDATE(C48,-1)</f>
        <v>45597</v>
      </c>
      <c r="E48" s="1102">
        <f t="shared" ref="E48:O48" si="13">EDATE(D48,-1)</f>
        <v>45566</v>
      </c>
      <c r="F48" s="1102">
        <f t="shared" si="13"/>
        <v>45536</v>
      </c>
      <c r="G48" s="1102">
        <f t="shared" si="13"/>
        <v>45505</v>
      </c>
      <c r="H48" s="1102">
        <f t="shared" si="13"/>
        <v>45474</v>
      </c>
      <c r="I48" s="1102">
        <f t="shared" si="13"/>
        <v>45444</v>
      </c>
      <c r="J48" s="1102">
        <f t="shared" si="13"/>
        <v>45413</v>
      </c>
      <c r="K48" s="1102">
        <f t="shared" si="13"/>
        <v>45383</v>
      </c>
      <c r="L48" s="1102">
        <f t="shared" si="13"/>
        <v>45352</v>
      </c>
      <c r="M48" s="1102">
        <f t="shared" si="13"/>
        <v>45323</v>
      </c>
      <c r="N48" s="1102">
        <f t="shared" si="13"/>
        <v>45292</v>
      </c>
      <c r="O48" s="1102">
        <f t="shared" si="13"/>
        <v>45261</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42:F44 H42:H44 J42:J44">
    <cfRule type="containsText" dxfId="60" priority="14" stopIfTrue="1" operator="containsText" text="超过">
      <formula>NOT(ISERROR(SEARCH("超过",F42)))</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G44">
    <cfRule type="expression" dxfId="57" priority="12" stopIfTrue="1">
      <formula>$H$54+$H$44="超过30%"</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49" t="s">
        <v>1767</v>
      </c>
      <c r="D4" s="3450"/>
      <c r="E4" s="3451" t="s">
        <v>1768</v>
      </c>
      <c r="F4" s="3452"/>
      <c r="G4" s="3449" t="s">
        <v>1769</v>
      </c>
      <c r="H4" s="3450"/>
      <c r="I4" s="3449" t="s">
        <v>1770</v>
      </c>
      <c r="J4" s="3450"/>
      <c r="K4" s="536" t="s">
        <v>1771</v>
      </c>
      <c r="L4" s="2481"/>
      <c r="M4" s="2482"/>
      <c r="N4" s="2482"/>
      <c r="O4" s="2482"/>
      <c r="P4" s="3453" t="s">
        <v>1772</v>
      </c>
      <c r="Q4" s="3454"/>
      <c r="R4" s="3459" t="s">
        <v>1768</v>
      </c>
      <c r="S4" s="3460"/>
      <c r="T4" s="3459" t="s">
        <v>1769</v>
      </c>
      <c r="U4" s="3460"/>
      <c r="V4" s="3435" t="s">
        <v>1770</v>
      </c>
      <c r="W4" s="3435"/>
      <c r="X4" s="1263"/>
      <c r="Y4" s="3459" t="s">
        <v>1772</v>
      </c>
      <c r="Z4" s="3460"/>
      <c r="AA4" s="3446" t="s">
        <v>1768</v>
      </c>
      <c r="AB4" s="3447" t="s">
        <v>1769</v>
      </c>
      <c r="AC4" s="3446" t="s">
        <v>1770</v>
      </c>
    </row>
    <row r="5" spans="1:29" ht="15">
      <c r="A5" s="347"/>
      <c r="B5" s="348"/>
      <c r="C5" s="3478" t="s">
        <v>1673</v>
      </c>
      <c r="D5" s="3473"/>
      <c r="E5" s="3479" t="s">
        <v>1674</v>
      </c>
      <c r="F5" s="3477"/>
      <c r="G5" s="3478" t="s">
        <v>1675</v>
      </c>
      <c r="H5" s="3473"/>
      <c r="I5" s="3478" t="s">
        <v>1676</v>
      </c>
      <c r="J5" s="3473"/>
      <c r="K5" s="536"/>
      <c r="L5" s="2481"/>
      <c r="M5" s="2482"/>
      <c r="N5" s="2482"/>
      <c r="O5" s="2482"/>
      <c r="P5" s="3455"/>
      <c r="Q5" s="3456"/>
      <c r="R5" s="3461"/>
      <c r="S5" s="3462"/>
      <c r="T5" s="3461"/>
      <c r="U5" s="3462"/>
      <c r="V5" s="3435"/>
      <c r="W5" s="3435"/>
      <c r="X5" s="1263"/>
      <c r="Y5" s="3461"/>
      <c r="Z5" s="3462"/>
      <c r="AA5" s="3447"/>
      <c r="AB5" s="3447"/>
      <c r="AC5" s="3447"/>
    </row>
    <row r="6" spans="1:29" ht="15.75" thickBot="1">
      <c r="A6" s="349"/>
      <c r="B6" s="350"/>
      <c r="C6" s="3465" t="s">
        <v>1677</v>
      </c>
      <c r="D6" s="3466"/>
      <c r="E6" s="3474" t="s">
        <v>1677</v>
      </c>
      <c r="F6" s="3475"/>
      <c r="G6" s="3465" t="s">
        <v>1677</v>
      </c>
      <c r="H6" s="3466"/>
      <c r="I6" s="3465" t="s">
        <v>1677</v>
      </c>
      <c r="J6" s="3466"/>
      <c r="K6" s="536" t="s">
        <v>1678</v>
      </c>
      <c r="L6" s="2481"/>
      <c r="M6" s="2482"/>
      <c r="N6" s="2482"/>
      <c r="O6" s="2482"/>
      <c r="P6" s="3457"/>
      <c r="Q6" s="3458"/>
      <c r="R6" s="3461"/>
      <c r="S6" s="3462"/>
      <c r="T6" s="3463"/>
      <c r="U6" s="3464"/>
      <c r="V6" s="3435"/>
      <c r="W6" s="3435"/>
      <c r="X6" s="1263"/>
      <c r="Y6" s="3463"/>
      <c r="Z6" s="3464"/>
      <c r="AA6" s="3448"/>
      <c r="AB6" s="3448"/>
      <c r="AC6" s="3448"/>
    </row>
    <row r="7" spans="1:29" s="101" customFormat="1" ht="15.75" thickBot="1">
      <c r="A7" s="351" t="s">
        <v>1679</v>
      </c>
      <c r="B7" s="352"/>
      <c r="C7" s="353">
        <f>'数据-取费表'!B2</f>
        <v>45652</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69" t="s">
        <v>1680</v>
      </c>
      <c r="Q7" s="3471"/>
      <c r="R7" s="663" t="s">
        <v>14</v>
      </c>
      <c r="S7" s="664">
        <f t="shared" ref="S7:S14" si="0">F7</f>
        <v>0</v>
      </c>
      <c r="T7" s="663" t="s">
        <v>14</v>
      </c>
      <c r="U7" s="664">
        <f t="shared" ref="U7:U14" si="1">H7</f>
        <v>0</v>
      </c>
      <c r="V7" s="663" t="s">
        <v>14</v>
      </c>
      <c r="W7" s="664">
        <f t="shared" ref="W7:W14" si="2">J7</f>
        <v>0</v>
      </c>
      <c r="X7" s="665"/>
      <c r="Y7" s="3469" t="s">
        <v>1680</v>
      </c>
      <c r="Z7" s="3470"/>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69" t="s">
        <v>1683</v>
      </c>
      <c r="Q8" s="3470"/>
      <c r="R8" s="663" t="s">
        <v>14</v>
      </c>
      <c r="S8" s="664">
        <f t="shared" si="0"/>
        <v>100</v>
      </c>
      <c r="T8" s="663" t="s">
        <v>14</v>
      </c>
      <c r="U8" s="664">
        <f t="shared" si="1"/>
        <v>100</v>
      </c>
      <c r="V8" s="663" t="s">
        <v>14</v>
      </c>
      <c r="W8" s="664">
        <f t="shared" si="2"/>
        <v>100</v>
      </c>
      <c r="X8" s="665"/>
      <c r="Y8" s="3469" t="s">
        <v>1683</v>
      </c>
      <c r="Z8" s="3470"/>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34" t="s">
        <v>1686</v>
      </c>
      <c r="Q9" s="529" t="str">
        <f t="shared" ref="Q9:Q14" si="6">B9</f>
        <v>用途</v>
      </c>
      <c r="R9" s="663" t="s">
        <v>14</v>
      </c>
      <c r="S9" s="664">
        <f t="shared" si="0"/>
        <v>100</v>
      </c>
      <c r="T9" s="663" t="s">
        <v>14</v>
      </c>
      <c r="U9" s="664">
        <f t="shared" si="1"/>
        <v>100</v>
      </c>
      <c r="V9" s="663" t="s">
        <v>14</v>
      </c>
      <c r="W9" s="664">
        <f t="shared" si="2"/>
        <v>100</v>
      </c>
      <c r="X9" s="665"/>
      <c r="Y9" s="3309"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34"/>
      <c r="Q10" s="529" t="str">
        <f t="shared" si="6"/>
        <v>土地使用年限（年）</v>
      </c>
      <c r="R10" s="663" t="s">
        <v>14</v>
      </c>
      <c r="S10" s="664">
        <f t="shared" si="0"/>
        <v>100</v>
      </c>
      <c r="T10" s="663" t="s">
        <v>14</v>
      </c>
      <c r="U10" s="664">
        <f t="shared" si="1"/>
        <v>100</v>
      </c>
      <c r="V10" s="663" t="s">
        <v>14</v>
      </c>
      <c r="W10" s="664">
        <f t="shared" si="2"/>
        <v>100</v>
      </c>
      <c r="X10" s="665"/>
      <c r="Y10" s="330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34"/>
      <c r="Q11" s="529">
        <f t="shared" si="6"/>
        <v>111</v>
      </c>
      <c r="R11" s="663" t="s">
        <v>14</v>
      </c>
      <c r="S11" s="664">
        <f t="shared" si="0"/>
        <v>100</v>
      </c>
      <c r="T11" s="663" t="s">
        <v>14</v>
      </c>
      <c r="U11" s="664">
        <f t="shared" si="1"/>
        <v>100</v>
      </c>
      <c r="V11" s="663" t="s">
        <v>14</v>
      </c>
      <c r="W11" s="664">
        <f t="shared" si="2"/>
        <v>100</v>
      </c>
      <c r="X11" s="665"/>
      <c r="Y11" s="3309"/>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34"/>
      <c r="Q12" s="529">
        <f t="shared" si="6"/>
        <v>111</v>
      </c>
      <c r="R12" s="663" t="s">
        <v>14</v>
      </c>
      <c r="S12" s="664">
        <f t="shared" si="0"/>
        <v>100</v>
      </c>
      <c r="T12" s="663" t="s">
        <v>14</v>
      </c>
      <c r="U12" s="664">
        <f t="shared" si="1"/>
        <v>100</v>
      </c>
      <c r="V12" s="663" t="s">
        <v>14</v>
      </c>
      <c r="W12" s="664">
        <f t="shared" si="2"/>
        <v>100</v>
      </c>
      <c r="X12" s="665"/>
      <c r="Y12" s="3309"/>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34"/>
      <c r="Q13" s="529">
        <f t="shared" si="6"/>
        <v>111</v>
      </c>
      <c r="R13" s="663" t="s">
        <v>14</v>
      </c>
      <c r="S13" s="664">
        <f t="shared" si="0"/>
        <v>100</v>
      </c>
      <c r="T13" s="663" t="s">
        <v>14</v>
      </c>
      <c r="U13" s="664">
        <f t="shared" si="1"/>
        <v>100</v>
      </c>
      <c r="V13" s="663" t="s">
        <v>14</v>
      </c>
      <c r="W13" s="664">
        <f t="shared" si="2"/>
        <v>100</v>
      </c>
      <c r="X13" s="665"/>
      <c r="Y13" s="3309"/>
      <c r="Z13" s="50">
        <f t="shared" si="7"/>
        <v>111</v>
      </c>
      <c r="AA13" s="50">
        <f t="shared" si="3"/>
        <v>1</v>
      </c>
      <c r="AB13" s="50">
        <f t="shared" si="4"/>
        <v>1</v>
      </c>
      <c r="AC13" s="50">
        <f t="shared" si="5"/>
        <v>1</v>
      </c>
    </row>
    <row r="14" spans="1:29" ht="99.75">
      <c r="A14" s="378" t="s">
        <v>1690</v>
      </c>
      <c r="B14" s="58" t="s">
        <v>1830</v>
      </c>
      <c r="C14" s="1814" t="str">
        <f>IF(B1="工业",估价对象房地状况!G4,估价对象房地状况!C6)</f>
        <v>周边有537路、643路、905路等多条公交线路，紧邻城市支路——爱博路，综合评价交通便捷度一般</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36" t="s">
        <v>1691</v>
      </c>
      <c r="Q14" s="1261" t="str">
        <f t="shared" si="6"/>
        <v>交通便捷度</v>
      </c>
      <c r="R14" s="666" t="s">
        <v>14</v>
      </c>
      <c r="S14" s="667">
        <f t="shared" si="0"/>
        <v>100</v>
      </c>
      <c r="T14" s="666" t="s">
        <v>14</v>
      </c>
      <c r="U14" s="667">
        <f t="shared" si="1"/>
        <v>100</v>
      </c>
      <c r="V14" s="666" t="s">
        <v>14</v>
      </c>
      <c r="W14" s="667">
        <f t="shared" si="2"/>
        <v>100</v>
      </c>
      <c r="X14" s="1263"/>
      <c r="Y14" s="3436"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37"/>
      <c r="Q15" s="1261"/>
      <c r="R15" s="666"/>
      <c r="S15" s="667"/>
      <c r="T15" s="666"/>
      <c r="U15" s="667"/>
      <c r="V15" s="666"/>
      <c r="W15" s="667"/>
      <c r="X15" s="1263"/>
      <c r="Y15" s="3437"/>
      <c r="Z15" s="1262"/>
      <c r="AA15" s="1262">
        <v>1</v>
      </c>
      <c r="AB15" s="1262">
        <v>1</v>
      </c>
      <c r="AC15" s="1262">
        <v>1</v>
      </c>
    </row>
    <row r="16" spans="1:29" ht="199.5">
      <c r="A16" s="366"/>
      <c r="B16" s="389" t="s">
        <v>1809</v>
      </c>
      <c r="C16" s="1751" t="str">
        <f>IF(B1="工业",估价对象房地状况!G5,估价对象房地状况!C7)</f>
        <v>医院：北京太阳城医院医院等医疗机构；
学校：北京商业学校昌平校区、北京师范大学亚太实验学校等教育机构；
商业：和鑫来生活超市等商业设施；
综合评价公共服务设施齐备度一般。</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37"/>
      <c r="Q16" s="1261" t="str">
        <f>B16</f>
        <v>公共配套设施</v>
      </c>
      <c r="R16" s="666" t="s">
        <v>14</v>
      </c>
      <c r="S16" s="667">
        <f>F16</f>
        <v>100</v>
      </c>
      <c r="T16" s="666" t="s">
        <v>14</v>
      </c>
      <c r="U16" s="667">
        <f>H16</f>
        <v>100</v>
      </c>
      <c r="V16" s="666" t="s">
        <v>14</v>
      </c>
      <c r="W16" s="667">
        <f>J16</f>
        <v>100</v>
      </c>
      <c r="X16" s="1263"/>
      <c r="Y16" s="3437"/>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37"/>
      <c r="Q17" s="1261"/>
      <c r="R17" s="666"/>
      <c r="S17" s="667"/>
      <c r="T17" s="666"/>
      <c r="U17" s="667"/>
      <c r="V17" s="666"/>
      <c r="W17" s="667"/>
      <c r="X17" s="1263"/>
      <c r="Y17" s="3437"/>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37"/>
      <c r="Q18" s="1261" t="str">
        <f>B18</f>
        <v>基础设施水平</v>
      </c>
      <c r="R18" s="666" t="s">
        <v>14</v>
      </c>
      <c r="S18" s="667">
        <f>F18</f>
        <v>100</v>
      </c>
      <c r="T18" s="666" t="s">
        <v>14</v>
      </c>
      <c r="U18" s="667">
        <f>H18</f>
        <v>100</v>
      </c>
      <c r="V18" s="666" t="s">
        <v>14</v>
      </c>
      <c r="W18" s="667">
        <f>J18</f>
        <v>100</v>
      </c>
      <c r="X18" s="1263"/>
      <c r="Y18" s="3437"/>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37"/>
      <c r="Q19" s="1261"/>
      <c r="R19" s="666"/>
      <c r="S19" s="667"/>
      <c r="T19" s="666"/>
      <c r="U19" s="667"/>
      <c r="V19" s="666"/>
      <c r="W19" s="667"/>
      <c r="X19" s="1263"/>
      <c r="Y19" s="3437"/>
      <c r="Z19" s="1262"/>
      <c r="AA19" s="1262">
        <v>1</v>
      </c>
      <c r="AB19" s="1262">
        <v>1</v>
      </c>
      <c r="AC19" s="1262">
        <v>1</v>
      </c>
    </row>
    <row r="20" spans="1:29" ht="71.25">
      <c r="A20" s="366"/>
      <c r="B20" s="389" t="s">
        <v>1831</v>
      </c>
      <c r="C20" s="1751" t="str">
        <f>IF(B1="工业",估价对象房地状况!G7,估价对象房地状况!C9)</f>
        <v>自然环境：温榆河水系等自然及人文景观；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37"/>
      <c r="Q20" s="1261" t="str">
        <f>B20</f>
        <v>自然及人文环境</v>
      </c>
      <c r="R20" s="666" t="s">
        <v>14</v>
      </c>
      <c r="S20" s="667">
        <f>F20</f>
        <v>100</v>
      </c>
      <c r="T20" s="666" t="s">
        <v>14</v>
      </c>
      <c r="U20" s="667">
        <f>H20</f>
        <v>100</v>
      </c>
      <c r="V20" s="666" t="s">
        <v>14</v>
      </c>
      <c r="W20" s="667">
        <f>J20</f>
        <v>100</v>
      </c>
      <c r="X20" s="1263"/>
      <c r="Y20" s="3437"/>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37"/>
      <c r="Q21" s="1261"/>
      <c r="R21" s="666"/>
      <c r="S21" s="667"/>
      <c r="T21" s="666"/>
      <c r="U21" s="667"/>
      <c r="V21" s="666"/>
      <c r="W21" s="667"/>
      <c r="X21" s="1263"/>
      <c r="Y21" s="3437"/>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37"/>
      <c r="Q22" s="1261" t="str">
        <f>B22</f>
        <v>楼层</v>
      </c>
      <c r="R22" s="666" t="s">
        <v>14</v>
      </c>
      <c r="S22" s="667">
        <f>F22</f>
        <v>100</v>
      </c>
      <c r="T22" s="666" t="s">
        <v>14</v>
      </c>
      <c r="U22" s="667">
        <f>H22</f>
        <v>100</v>
      </c>
      <c r="V22" s="666" t="s">
        <v>14</v>
      </c>
      <c r="W22" s="667">
        <f>J22</f>
        <v>100</v>
      </c>
      <c r="X22" s="1263"/>
      <c r="Y22" s="3437"/>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37"/>
      <c r="Q23" s="1261">
        <f>B23</f>
        <v>111</v>
      </c>
      <c r="R23" s="666" t="s">
        <v>14</v>
      </c>
      <c r="S23" s="667">
        <f>F23</f>
        <v>100</v>
      </c>
      <c r="T23" s="666" t="s">
        <v>14</v>
      </c>
      <c r="U23" s="667">
        <f>H23</f>
        <v>100</v>
      </c>
      <c r="V23" s="666" t="s">
        <v>14</v>
      </c>
      <c r="W23" s="667">
        <f>J23</f>
        <v>100</v>
      </c>
      <c r="X23" s="1263"/>
      <c r="Y23" s="3437"/>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37"/>
      <c r="Q24" s="1261">
        <f t="shared" ref="Q24:Q34" si="8">B24</f>
        <v>111</v>
      </c>
      <c r="R24" s="666" t="s">
        <v>14</v>
      </c>
      <c r="S24" s="667">
        <f>F24</f>
        <v>100</v>
      </c>
      <c r="T24" s="666" t="s">
        <v>14</v>
      </c>
      <c r="U24" s="667">
        <f>H24</f>
        <v>100</v>
      </c>
      <c r="V24" s="666" t="s">
        <v>14</v>
      </c>
      <c r="W24" s="667">
        <f>J24</f>
        <v>100</v>
      </c>
      <c r="X24" s="1263"/>
      <c r="Y24" s="3437"/>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37"/>
      <c r="Q25" s="529">
        <f t="shared" si="8"/>
        <v>111</v>
      </c>
      <c r="R25" s="663" t="s">
        <v>14</v>
      </c>
      <c r="S25" s="664">
        <f>F25</f>
        <v>100</v>
      </c>
      <c r="T25" s="663" t="s">
        <v>14</v>
      </c>
      <c r="U25" s="664">
        <f>H25</f>
        <v>100</v>
      </c>
      <c r="V25" s="663" t="s">
        <v>14</v>
      </c>
      <c r="W25" s="664">
        <f>J25</f>
        <v>100</v>
      </c>
      <c r="X25" s="665"/>
      <c r="Y25" s="3437"/>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95"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41"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41"/>
      <c r="Q27" s="530" t="str">
        <f t="shared" si="8"/>
        <v>成新率</v>
      </c>
      <c r="R27" s="668" t="s">
        <v>14</v>
      </c>
      <c r="S27" s="669" t="e">
        <f t="shared" si="9"/>
        <v>#N/A</v>
      </c>
      <c r="T27" s="668" t="s">
        <v>14</v>
      </c>
      <c r="U27" s="669" t="e">
        <f t="shared" si="10"/>
        <v>#N/A</v>
      </c>
      <c r="V27" s="668" t="s">
        <v>14</v>
      </c>
      <c r="W27" s="669" t="e">
        <f t="shared" si="11"/>
        <v>#N/A</v>
      </c>
      <c r="X27" s="670"/>
      <c r="Y27" s="3441"/>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41"/>
      <c r="Q28" s="1261" t="str">
        <f t="shared" si="8"/>
        <v>物业等级</v>
      </c>
      <c r="R28" s="666" t="s">
        <v>14</v>
      </c>
      <c r="S28" s="667">
        <f t="shared" si="9"/>
        <v>100</v>
      </c>
      <c r="T28" s="666" t="s">
        <v>14</v>
      </c>
      <c r="U28" s="667">
        <f t="shared" si="10"/>
        <v>100</v>
      </c>
      <c r="V28" s="666" t="s">
        <v>14</v>
      </c>
      <c r="W28" s="667">
        <f t="shared" si="11"/>
        <v>100</v>
      </c>
      <c r="X28" s="1263"/>
      <c r="Y28" s="3441"/>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41"/>
      <c r="Q29" s="1261" t="str">
        <f t="shared" si="8"/>
        <v>有无电梯</v>
      </c>
      <c r="R29" s="666" t="s">
        <v>14</v>
      </c>
      <c r="S29" s="667">
        <f t="shared" si="9"/>
        <v>100</v>
      </c>
      <c r="T29" s="666" t="s">
        <v>14</v>
      </c>
      <c r="U29" s="667">
        <f t="shared" si="10"/>
        <v>100</v>
      </c>
      <c r="V29" s="666" t="s">
        <v>14</v>
      </c>
      <c r="W29" s="667">
        <f t="shared" si="11"/>
        <v>100</v>
      </c>
      <c r="X29" s="1263"/>
      <c r="Y29" s="3441"/>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41"/>
      <c r="Q30" s="1261" t="str">
        <f t="shared" si="8"/>
        <v>建筑面积</v>
      </c>
      <c r="R30" s="666" t="s">
        <v>14</v>
      </c>
      <c r="S30" s="667" t="e">
        <f t="shared" si="9"/>
        <v>#N/A</v>
      </c>
      <c r="T30" s="666" t="s">
        <v>14</v>
      </c>
      <c r="U30" s="667" t="e">
        <f t="shared" si="10"/>
        <v>#N/A</v>
      </c>
      <c r="V30" s="666" t="s">
        <v>14</v>
      </c>
      <c r="W30" s="667" t="e">
        <f t="shared" si="11"/>
        <v>#N/A</v>
      </c>
      <c r="X30" s="1263"/>
      <c r="Y30" s="3441"/>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41"/>
      <c r="Q31" s="529" t="str">
        <f t="shared" si="8"/>
        <v>是否封闭</v>
      </c>
      <c r="R31" s="663" t="s">
        <v>14</v>
      </c>
      <c r="S31" s="664">
        <f t="shared" si="9"/>
        <v>100</v>
      </c>
      <c r="T31" s="663" t="s">
        <v>14</v>
      </c>
      <c r="U31" s="664">
        <f t="shared" si="10"/>
        <v>100</v>
      </c>
      <c r="V31" s="663" t="s">
        <v>14</v>
      </c>
      <c r="W31" s="664">
        <f t="shared" si="11"/>
        <v>100</v>
      </c>
      <c r="X31" s="665"/>
      <c r="Y31" s="3441"/>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41" t="s">
        <v>1696</v>
      </c>
      <c r="Q32" s="1261">
        <f t="shared" si="8"/>
        <v>111</v>
      </c>
      <c r="R32" s="666" t="s">
        <v>14</v>
      </c>
      <c r="S32" s="667">
        <f t="shared" si="9"/>
        <v>100</v>
      </c>
      <c r="T32" s="666" t="s">
        <v>14</v>
      </c>
      <c r="U32" s="667">
        <f t="shared" si="10"/>
        <v>100</v>
      </c>
      <c r="V32" s="666" t="s">
        <v>14</v>
      </c>
      <c r="W32" s="667">
        <f t="shared" si="11"/>
        <v>100</v>
      </c>
      <c r="X32" s="1263"/>
      <c r="Y32" s="3441"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41"/>
      <c r="Q33" s="1261">
        <f t="shared" si="8"/>
        <v>111</v>
      </c>
      <c r="R33" s="666" t="s">
        <v>14</v>
      </c>
      <c r="S33" s="667">
        <f t="shared" si="9"/>
        <v>100</v>
      </c>
      <c r="T33" s="666" t="s">
        <v>14</v>
      </c>
      <c r="U33" s="667">
        <f t="shared" si="10"/>
        <v>100</v>
      </c>
      <c r="V33" s="666" t="s">
        <v>14</v>
      </c>
      <c r="W33" s="667">
        <f t="shared" si="11"/>
        <v>100</v>
      </c>
      <c r="X33" s="1263"/>
      <c r="Y33" s="3441"/>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41"/>
      <c r="Q34" s="1261">
        <f t="shared" si="8"/>
        <v>111</v>
      </c>
      <c r="R34" s="666" t="s">
        <v>14</v>
      </c>
      <c r="S34" s="667">
        <f t="shared" si="9"/>
        <v>100</v>
      </c>
      <c r="T34" s="666" t="s">
        <v>14</v>
      </c>
      <c r="U34" s="667">
        <f t="shared" si="10"/>
        <v>100</v>
      </c>
      <c r="V34" s="666" t="s">
        <v>14</v>
      </c>
      <c r="W34" s="667">
        <f t="shared" si="11"/>
        <v>100</v>
      </c>
      <c r="X34" s="1263"/>
      <c r="Y34" s="3441"/>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34" t="str">
        <f>A35</f>
        <v>成交单价（元/平方米）</v>
      </c>
      <c r="Q35" s="3434"/>
      <c r="R35" s="3435">
        <f>E35</f>
        <v>0</v>
      </c>
      <c r="S35" s="3435"/>
      <c r="T35" s="3435">
        <f>G35</f>
        <v>0</v>
      </c>
      <c r="U35" s="3435"/>
      <c r="V35" s="3435">
        <f>I35</f>
        <v>0</v>
      </c>
      <c r="W35" s="3435"/>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34" t="str">
        <f>A36</f>
        <v>比较价值（元/平方米）</v>
      </c>
      <c r="Q36" s="3434"/>
      <c r="R36" s="3435" t="e">
        <f>IF(F1="售价",ROUND(PRODUCT(R35,AA7:AA34),0),ROUND(PRODUCT(R35,AA7:AA34),1))</f>
        <v>#DIV/0!</v>
      </c>
      <c r="S36" s="3435"/>
      <c r="T36" s="3435" t="e">
        <f>IF(F1="售价",ROUND(PRODUCT(T35,AB7:AB34),0),ROUND(PRODUCT(T35,AB7:AB34),1))</f>
        <v>#DIV/0!</v>
      </c>
      <c r="U36" s="3435"/>
      <c r="V36" s="3435" t="e">
        <f>IF(F1="售价",ROUND(PRODUCT(V35,AC7:AC34),0),ROUND(PRODUCT(V35,AC7:AC34),1))</f>
        <v>#DIV/0!</v>
      </c>
      <c r="W36" s="3435"/>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31" t="str">
        <f>A37</f>
        <v>估价对象XX用房的比较价值（楼面单价，元/平方米）</v>
      </c>
      <c r="Q37" s="3432"/>
      <c r="R37" s="3496" t="e">
        <f>IF(F1="售价",ROUND(IF(D36="简单平均",AVERAGE(R36:W36),R36*F36+T36*H36+V36*J36),0),ROUND(IF(D36="简单平均",AVERAGE(R36:V36),R36*F36+T36*H36+V36*J36),1))</f>
        <v>#DIV/0!</v>
      </c>
      <c r="S37" s="3496"/>
      <c r="T37" s="3496"/>
      <c r="U37" s="3496"/>
      <c r="V37" s="3496"/>
      <c r="W37" s="3496"/>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2024-12</v>
      </c>
      <c r="D46" s="1102">
        <f>EDATE(C46,-1)</f>
        <v>45597</v>
      </c>
      <c r="E46" s="1102">
        <f t="shared" ref="E46:O46" si="13">EDATE(D46,-1)</f>
        <v>45566</v>
      </c>
      <c r="F46" s="1102">
        <f t="shared" si="13"/>
        <v>45536</v>
      </c>
      <c r="G46" s="1102">
        <f t="shared" si="13"/>
        <v>45505</v>
      </c>
      <c r="H46" s="1102">
        <f t="shared" si="13"/>
        <v>45474</v>
      </c>
      <c r="I46" s="1102">
        <f t="shared" si="13"/>
        <v>45444</v>
      </c>
      <c r="J46" s="1102">
        <f t="shared" si="13"/>
        <v>45413</v>
      </c>
      <c r="K46" s="1102">
        <f t="shared" si="13"/>
        <v>45383</v>
      </c>
      <c r="L46" s="1102">
        <f t="shared" si="13"/>
        <v>45352</v>
      </c>
      <c r="M46" s="1102">
        <f t="shared" si="13"/>
        <v>45323</v>
      </c>
      <c r="N46" s="1102">
        <f t="shared" si="13"/>
        <v>45292</v>
      </c>
      <c r="O46" s="1102">
        <f t="shared" si="13"/>
        <v>45261</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估价对象为北京市房地产，为所有。根据《国有土地使用证》[]，估价对象（分摊）出让国有建设用地使用权面积为0平方米，建筑面积为54242.66平方米。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估价对象为北京市房地产,属开发建设的，该项目尚在开发建设中。根据《国有土地使用证》[]，估价对象（分摊）出让国有建设用地使用权面积为0平方米，规划建筑面积为54242.66平方米。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2024年12月26日（评估专业人员实地查勘之日）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26日，估价对象规划用途为，土地取得方式为出让，出让国有建设用地使用权剩余土地使用年限为70，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49" t="s">
        <v>1767</v>
      </c>
      <c r="D4" s="3450"/>
      <c r="E4" s="3451" t="s">
        <v>1768</v>
      </c>
      <c r="F4" s="3452"/>
      <c r="G4" s="3449" t="s">
        <v>1769</v>
      </c>
      <c r="H4" s="3450"/>
      <c r="I4" s="3449" t="s">
        <v>1770</v>
      </c>
      <c r="J4" s="3450"/>
      <c r="K4" s="536" t="s">
        <v>1771</v>
      </c>
      <c r="L4" s="2481"/>
      <c r="M4" s="2482"/>
      <c r="N4" s="2482"/>
      <c r="O4" s="2482"/>
      <c r="P4" s="3453" t="s">
        <v>1772</v>
      </c>
      <c r="Q4" s="3454"/>
      <c r="R4" s="3459" t="s">
        <v>1768</v>
      </c>
      <c r="S4" s="3460"/>
      <c r="T4" s="3459" t="s">
        <v>1769</v>
      </c>
      <c r="U4" s="3460"/>
      <c r="V4" s="3435" t="s">
        <v>1770</v>
      </c>
      <c r="W4" s="3435"/>
      <c r="X4" s="1263"/>
      <c r="Y4" s="3459" t="s">
        <v>1772</v>
      </c>
      <c r="Z4" s="3460"/>
      <c r="AA4" s="3446" t="s">
        <v>1768</v>
      </c>
      <c r="AB4" s="3447" t="s">
        <v>1769</v>
      </c>
      <c r="AC4" s="3446" t="s">
        <v>1770</v>
      </c>
    </row>
    <row r="5" spans="1:29" ht="15">
      <c r="A5" s="347"/>
      <c r="B5" s="348"/>
      <c r="C5" s="3478" t="s">
        <v>1673</v>
      </c>
      <c r="D5" s="3473"/>
      <c r="E5" s="3479" t="s">
        <v>1674</v>
      </c>
      <c r="F5" s="3477"/>
      <c r="G5" s="3478" t="s">
        <v>1675</v>
      </c>
      <c r="H5" s="3473"/>
      <c r="I5" s="3478" t="s">
        <v>1676</v>
      </c>
      <c r="J5" s="3473"/>
      <c r="K5" s="536"/>
      <c r="L5" s="2481"/>
      <c r="M5" s="2482"/>
      <c r="N5" s="2482"/>
      <c r="O5" s="2482"/>
      <c r="P5" s="3455"/>
      <c r="Q5" s="3456"/>
      <c r="R5" s="3461"/>
      <c r="S5" s="3462"/>
      <c r="T5" s="3461"/>
      <c r="U5" s="3462"/>
      <c r="V5" s="3435"/>
      <c r="W5" s="3435"/>
      <c r="X5" s="1263"/>
      <c r="Y5" s="3461"/>
      <c r="Z5" s="3462"/>
      <c r="AA5" s="3447"/>
      <c r="AB5" s="3447"/>
      <c r="AC5" s="3447"/>
    </row>
    <row r="6" spans="1:29" ht="15.75" thickBot="1">
      <c r="A6" s="349"/>
      <c r="B6" s="350"/>
      <c r="C6" s="3465" t="s">
        <v>1677</v>
      </c>
      <c r="D6" s="3466"/>
      <c r="E6" s="3474" t="s">
        <v>1677</v>
      </c>
      <c r="F6" s="3475"/>
      <c r="G6" s="3465" t="s">
        <v>1677</v>
      </c>
      <c r="H6" s="3466"/>
      <c r="I6" s="3465" t="s">
        <v>1677</v>
      </c>
      <c r="J6" s="3466"/>
      <c r="K6" s="536" t="s">
        <v>1678</v>
      </c>
      <c r="L6" s="2481"/>
      <c r="M6" s="2482"/>
      <c r="N6" s="2482"/>
      <c r="O6" s="2482"/>
      <c r="P6" s="3457"/>
      <c r="Q6" s="3458"/>
      <c r="R6" s="3461"/>
      <c r="S6" s="3462"/>
      <c r="T6" s="3463"/>
      <c r="U6" s="3464"/>
      <c r="V6" s="3435"/>
      <c r="W6" s="3435"/>
      <c r="X6" s="1263"/>
      <c r="Y6" s="3463"/>
      <c r="Z6" s="3464"/>
      <c r="AA6" s="3448"/>
      <c r="AB6" s="3448"/>
      <c r="AC6" s="3448"/>
    </row>
    <row r="7" spans="1:29" s="101" customFormat="1" ht="15.75" thickBot="1">
      <c r="A7" s="351" t="s">
        <v>1679</v>
      </c>
      <c r="B7" s="352"/>
      <c r="C7" s="353">
        <f>'数据-取费表'!B2</f>
        <v>45652</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69" t="s">
        <v>1680</v>
      </c>
      <c r="Q7" s="3471"/>
      <c r="R7" s="663" t="s">
        <v>14</v>
      </c>
      <c r="S7" s="664">
        <f t="shared" ref="S7:S15" si="0">F7</f>
        <v>0</v>
      </c>
      <c r="T7" s="663" t="s">
        <v>14</v>
      </c>
      <c r="U7" s="664">
        <f t="shared" ref="U7:U15" si="1">H7</f>
        <v>0</v>
      </c>
      <c r="V7" s="663" t="s">
        <v>14</v>
      </c>
      <c r="W7" s="664">
        <f t="shared" ref="W7:W15" si="2">J7</f>
        <v>0</v>
      </c>
      <c r="X7" s="665"/>
      <c r="Y7" s="3469" t="s">
        <v>1680</v>
      </c>
      <c r="Z7" s="3470"/>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69" t="s">
        <v>1683</v>
      </c>
      <c r="Q8" s="3470"/>
      <c r="R8" s="663" t="s">
        <v>14</v>
      </c>
      <c r="S8" s="664">
        <f t="shared" si="0"/>
        <v>0</v>
      </c>
      <c r="T8" s="663" t="s">
        <v>14</v>
      </c>
      <c r="U8" s="664">
        <f t="shared" si="1"/>
        <v>0</v>
      </c>
      <c r="V8" s="663" t="s">
        <v>14</v>
      </c>
      <c r="W8" s="664">
        <f t="shared" si="2"/>
        <v>0</v>
      </c>
      <c r="X8" s="665"/>
      <c r="Y8" s="3469" t="s">
        <v>1683</v>
      </c>
      <c r="Z8" s="3470"/>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34" t="s">
        <v>1686</v>
      </c>
      <c r="Q9" s="529" t="str">
        <f t="shared" ref="Q9:Q15" si="6">B9</f>
        <v>用途</v>
      </c>
      <c r="R9" s="663" t="s">
        <v>14</v>
      </c>
      <c r="S9" s="664">
        <f t="shared" si="0"/>
        <v>100</v>
      </c>
      <c r="T9" s="663" t="s">
        <v>14</v>
      </c>
      <c r="U9" s="664">
        <f t="shared" si="1"/>
        <v>100</v>
      </c>
      <c r="V9" s="663" t="s">
        <v>14</v>
      </c>
      <c r="W9" s="664">
        <f t="shared" si="2"/>
        <v>100</v>
      </c>
      <c r="X9" s="665"/>
      <c r="Y9" s="330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111</v>
      </c>
      <c r="G10" s="401"/>
      <c r="H10" s="118">
        <f>ROUND(100/'数据-取费表'!G16,0)</f>
        <v>111</v>
      </c>
      <c r="I10" s="401"/>
      <c r="J10" s="118">
        <f>ROUND(100/'数据-取费表'!G16,0)</f>
        <v>111</v>
      </c>
      <c r="K10" s="591"/>
      <c r="L10" s="2484"/>
      <c r="M10" s="2485"/>
      <c r="N10" s="2485"/>
      <c r="O10" s="2536"/>
      <c r="P10" s="3434"/>
      <c r="Q10" s="529" t="str">
        <f t="shared" si="6"/>
        <v>土地使用年限（年）</v>
      </c>
      <c r="R10" s="663" t="s">
        <v>14</v>
      </c>
      <c r="S10" s="664">
        <f t="shared" si="0"/>
        <v>111</v>
      </c>
      <c r="T10" s="663" t="s">
        <v>14</v>
      </c>
      <c r="U10" s="664">
        <f t="shared" si="1"/>
        <v>111</v>
      </c>
      <c r="V10" s="663" t="s">
        <v>14</v>
      </c>
      <c r="W10" s="664">
        <f t="shared" si="2"/>
        <v>111</v>
      </c>
      <c r="X10" s="665"/>
      <c r="Y10" s="3309"/>
      <c r="Z10" s="50" t="str">
        <f t="shared" si="7"/>
        <v>土地使用年限（年）</v>
      </c>
      <c r="AA10" s="50">
        <f t="shared" si="3"/>
        <v>0.90090090090090091</v>
      </c>
      <c r="AB10" s="50">
        <f t="shared" si="4"/>
        <v>0.90090090090090091</v>
      </c>
      <c r="AC10" s="50">
        <f t="shared" si="5"/>
        <v>0.90090090090090091</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34"/>
      <c r="Q11" s="529" t="str">
        <f t="shared" si="6"/>
        <v>容积率</v>
      </c>
      <c r="R11" s="663" t="s">
        <v>14</v>
      </c>
      <c r="S11" s="664" t="e">
        <f t="shared" si="0"/>
        <v>#N/A</v>
      </c>
      <c r="T11" s="663" t="s">
        <v>14</v>
      </c>
      <c r="U11" s="664" t="e">
        <f t="shared" si="1"/>
        <v>#N/A</v>
      </c>
      <c r="V11" s="663" t="s">
        <v>14</v>
      </c>
      <c r="W11" s="664" t="e">
        <f t="shared" si="2"/>
        <v>#N/A</v>
      </c>
      <c r="X11" s="665"/>
      <c r="Y11" s="3309"/>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34"/>
      <c r="Q12" s="529" t="str">
        <f t="shared" si="6"/>
        <v>配建</v>
      </c>
      <c r="R12" s="663" t="s">
        <v>14</v>
      </c>
      <c r="S12" s="664">
        <f t="shared" si="0"/>
        <v>100</v>
      </c>
      <c r="T12" s="663" t="s">
        <v>14</v>
      </c>
      <c r="U12" s="664">
        <f t="shared" si="1"/>
        <v>100</v>
      </c>
      <c r="V12" s="663" t="s">
        <v>14</v>
      </c>
      <c r="W12" s="664">
        <f t="shared" si="2"/>
        <v>100</v>
      </c>
      <c r="X12" s="665"/>
      <c r="Y12" s="3309"/>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34"/>
      <c r="Q13" s="529">
        <f t="shared" si="6"/>
        <v>111</v>
      </c>
      <c r="R13" s="663" t="s">
        <v>14</v>
      </c>
      <c r="S13" s="664">
        <f t="shared" si="0"/>
        <v>100</v>
      </c>
      <c r="T13" s="663" t="s">
        <v>14</v>
      </c>
      <c r="U13" s="664">
        <f t="shared" si="1"/>
        <v>100</v>
      </c>
      <c r="V13" s="663" t="s">
        <v>14</v>
      </c>
      <c r="W13" s="664">
        <f t="shared" si="2"/>
        <v>100</v>
      </c>
      <c r="X13" s="665"/>
      <c r="Y13" s="3309"/>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34"/>
      <c r="Q14" s="529">
        <f t="shared" si="6"/>
        <v>111</v>
      </c>
      <c r="R14" s="663" t="s">
        <v>14</v>
      </c>
      <c r="S14" s="664">
        <f t="shared" si="0"/>
        <v>100</v>
      </c>
      <c r="T14" s="663" t="s">
        <v>14</v>
      </c>
      <c r="U14" s="664">
        <f t="shared" si="1"/>
        <v>100</v>
      </c>
      <c r="V14" s="663" t="s">
        <v>14</v>
      </c>
      <c r="W14" s="664">
        <f t="shared" si="2"/>
        <v>100</v>
      </c>
      <c r="X14" s="665"/>
      <c r="Y14" s="3309"/>
      <c r="Z14" s="50">
        <f t="shared" si="7"/>
        <v>111</v>
      </c>
      <c r="AA14" s="50">
        <f>D14/F14</f>
        <v>1</v>
      </c>
      <c r="AB14" s="50">
        <f>D14/H14</f>
        <v>1</v>
      </c>
      <c r="AC14" s="50">
        <f>D14/J14</f>
        <v>1</v>
      </c>
    </row>
    <row r="15" spans="1:29" ht="71.25">
      <c r="A15" s="378" t="s">
        <v>1690</v>
      </c>
      <c r="B15" s="58" t="s">
        <v>1257</v>
      </c>
      <c r="C15" s="1747" t="str">
        <f>估价对象房地状况!C15</f>
        <v>周边有太阳城、远洋傲北、冠华苑、冠雅苑等住宅小区，居住社区成熟度较好。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36" t="s">
        <v>1691</v>
      </c>
      <c r="Q15" s="1261" t="str">
        <f t="shared" si="6"/>
        <v>居住社区成熟度</v>
      </c>
      <c r="R15" s="666" t="s">
        <v>14</v>
      </c>
      <c r="S15" s="667">
        <f t="shared" si="0"/>
        <v>100</v>
      </c>
      <c r="T15" s="666" t="s">
        <v>14</v>
      </c>
      <c r="U15" s="667">
        <f t="shared" si="1"/>
        <v>100</v>
      </c>
      <c r="V15" s="666" t="s">
        <v>14</v>
      </c>
      <c r="W15" s="667">
        <f t="shared" si="2"/>
        <v>100</v>
      </c>
      <c r="X15" s="1263"/>
      <c r="Y15" s="3436"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37"/>
      <c r="Q16" s="1261"/>
      <c r="R16" s="666"/>
      <c r="S16" s="667"/>
      <c r="T16" s="666"/>
      <c r="U16" s="667"/>
      <c r="V16" s="666"/>
      <c r="W16" s="667"/>
      <c r="X16" s="1263"/>
      <c r="Y16" s="3437"/>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37"/>
      <c r="Q17" s="1261" t="str">
        <f>B17</f>
        <v>商业繁华度</v>
      </c>
      <c r="R17" s="666" t="s">
        <v>14</v>
      </c>
      <c r="S17" s="667">
        <f>F17</f>
        <v>100</v>
      </c>
      <c r="T17" s="666" t="s">
        <v>14</v>
      </c>
      <c r="U17" s="667">
        <f>H17</f>
        <v>100</v>
      </c>
      <c r="V17" s="666" t="s">
        <v>14</v>
      </c>
      <c r="W17" s="667">
        <f>J17</f>
        <v>100</v>
      </c>
      <c r="X17" s="1263"/>
      <c r="Y17" s="3437"/>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37"/>
      <c r="Q18" s="1261"/>
      <c r="R18" s="666"/>
      <c r="S18" s="667"/>
      <c r="T18" s="666"/>
      <c r="U18" s="667"/>
      <c r="V18" s="666"/>
      <c r="W18" s="667"/>
      <c r="X18" s="1263"/>
      <c r="Y18" s="3437"/>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37"/>
      <c r="Q19" s="1261" t="str">
        <f>B19</f>
        <v>办公集聚程度</v>
      </c>
      <c r="R19" s="666" t="s">
        <v>14</v>
      </c>
      <c r="S19" s="667">
        <f>F19</f>
        <v>100</v>
      </c>
      <c r="T19" s="666" t="s">
        <v>14</v>
      </c>
      <c r="U19" s="667">
        <f>H19</f>
        <v>100</v>
      </c>
      <c r="V19" s="666" t="s">
        <v>14</v>
      </c>
      <c r="W19" s="667">
        <f>J19</f>
        <v>100</v>
      </c>
      <c r="X19" s="1263"/>
      <c r="Y19" s="3437"/>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37"/>
      <c r="Q20" s="1261"/>
      <c r="R20" s="666"/>
      <c r="S20" s="667"/>
      <c r="T20" s="666"/>
      <c r="U20" s="667"/>
      <c r="V20" s="666"/>
      <c r="W20" s="667"/>
      <c r="X20" s="1263"/>
      <c r="Y20" s="3437"/>
      <c r="Z20" s="1262"/>
      <c r="AA20" s="1262">
        <v>1</v>
      </c>
      <c r="AB20" s="1262">
        <v>1</v>
      </c>
      <c r="AC20" s="1262">
        <v>1</v>
      </c>
    </row>
    <row r="21" spans="1:29" ht="99.75">
      <c r="A21" s="366"/>
      <c r="B21" s="389" t="s">
        <v>1830</v>
      </c>
      <c r="C21" s="1751" t="str">
        <f>估价对象房地状况!C18</f>
        <v>周边有537路、643路、905路等多条公交线路，紧邻城市支路——爱博路，综合评价交通便捷度一般</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37"/>
      <c r="Q21" s="1261" t="str">
        <f>B21</f>
        <v>交通便捷度</v>
      </c>
      <c r="R21" s="666" t="s">
        <v>14</v>
      </c>
      <c r="S21" s="667">
        <f>F21</f>
        <v>100</v>
      </c>
      <c r="T21" s="666" t="s">
        <v>14</v>
      </c>
      <c r="U21" s="667">
        <f>H21</f>
        <v>100</v>
      </c>
      <c r="V21" s="666" t="s">
        <v>14</v>
      </c>
      <c r="W21" s="667">
        <f>J21</f>
        <v>100</v>
      </c>
      <c r="X21" s="1263"/>
      <c r="Y21" s="3437"/>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37"/>
      <c r="Q22" s="1261"/>
      <c r="R22" s="666"/>
      <c r="S22" s="667"/>
      <c r="T22" s="666"/>
      <c r="U22" s="667"/>
      <c r="V22" s="666"/>
      <c r="W22" s="667"/>
      <c r="X22" s="1263"/>
      <c r="Y22" s="3437"/>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37"/>
      <c r="Q23" s="1261" t="str">
        <f t="shared" ref="Q23:Q37" si="8">B23</f>
        <v>区域土地利用方向</v>
      </c>
      <c r="R23" s="666" t="s">
        <v>14</v>
      </c>
      <c r="S23" s="667">
        <f>F23</f>
        <v>100</v>
      </c>
      <c r="T23" s="666" t="s">
        <v>14</v>
      </c>
      <c r="U23" s="667">
        <f>H23</f>
        <v>100</v>
      </c>
      <c r="V23" s="666" t="s">
        <v>14</v>
      </c>
      <c r="W23" s="667">
        <f>J23</f>
        <v>100</v>
      </c>
      <c r="X23" s="1263"/>
      <c r="Y23" s="3437"/>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37"/>
      <c r="Q24" s="1261"/>
      <c r="R24" s="666"/>
      <c r="S24" s="667"/>
      <c r="T24" s="666"/>
      <c r="U24" s="667"/>
      <c r="V24" s="666"/>
      <c r="W24" s="667"/>
      <c r="X24" s="1263"/>
      <c r="Y24" s="3437"/>
      <c r="Z24" s="1262"/>
      <c r="AA24" s="1262"/>
      <c r="AB24" s="1262"/>
      <c r="AC24" s="1262"/>
    </row>
    <row r="25" spans="1:29" ht="71.25">
      <c r="A25" s="347"/>
      <c r="B25" s="585" t="s">
        <v>1869</v>
      </c>
      <c r="C25" s="1801" t="str">
        <f>估价对象房地状况!C20</f>
        <v>自然环境：温榆河水系等自然及人文景观；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37"/>
      <c r="Q25" s="1261" t="str">
        <f t="shared" si="8"/>
        <v>自然及人文环境状况</v>
      </c>
      <c r="R25" s="666" t="s">
        <v>14</v>
      </c>
      <c r="S25" s="667">
        <f>F25</f>
        <v>100</v>
      </c>
      <c r="T25" s="666" t="s">
        <v>14</v>
      </c>
      <c r="U25" s="667">
        <f>H25</f>
        <v>100</v>
      </c>
      <c r="V25" s="666" t="s">
        <v>14</v>
      </c>
      <c r="W25" s="667">
        <f>J25</f>
        <v>100</v>
      </c>
      <c r="X25" s="1263"/>
      <c r="Y25" s="3437"/>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37"/>
      <c r="Q26" s="1261"/>
      <c r="R26" s="666"/>
      <c r="S26" s="667"/>
      <c r="T26" s="666"/>
      <c r="U26" s="667"/>
      <c r="V26" s="666"/>
      <c r="W26" s="667"/>
      <c r="X26" s="1263"/>
      <c r="Y26" s="3437"/>
      <c r="Z26" s="1262"/>
      <c r="AA26" s="1262">
        <v>1</v>
      </c>
      <c r="AB26" s="1262">
        <v>1</v>
      </c>
      <c r="AC26" s="1262">
        <v>1</v>
      </c>
    </row>
    <row r="27" spans="1:29" s="101" customFormat="1" ht="199.5">
      <c r="A27" s="442"/>
      <c r="B27" s="585" t="s">
        <v>1775</v>
      </c>
      <c r="C27" s="1751" t="str">
        <f>估价对象房地状况!C21</f>
        <v>医院：北京太阳城医院医院等医疗机构；
学校：北京商业学校昌平校区、北京师范大学亚太实验学校等教育机构；
商业：和鑫来生活超市等商业设施；
综合评价公共服务设施齐备度一般。</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37"/>
      <c r="Q27" s="529" t="str">
        <f t="shared" si="8"/>
        <v>公共配套设施</v>
      </c>
      <c r="R27" s="663" t="s">
        <v>14</v>
      </c>
      <c r="S27" s="664">
        <f>F27</f>
        <v>100</v>
      </c>
      <c r="T27" s="663" t="s">
        <v>14</v>
      </c>
      <c r="U27" s="664">
        <f>H27</f>
        <v>100</v>
      </c>
      <c r="V27" s="663" t="s">
        <v>14</v>
      </c>
      <c r="W27" s="664">
        <f>J27</f>
        <v>100</v>
      </c>
      <c r="X27" s="665"/>
      <c r="Y27" s="3437"/>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37"/>
      <c r="Q28" s="529"/>
      <c r="R28" s="663"/>
      <c r="S28" s="664"/>
      <c r="T28" s="663"/>
      <c r="U28" s="664"/>
      <c r="V28" s="663"/>
      <c r="W28" s="664"/>
      <c r="X28" s="665"/>
      <c r="Y28" s="3437"/>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37"/>
      <c r="Q29" s="529" t="str">
        <f>B29</f>
        <v>基础设施水平</v>
      </c>
      <c r="R29" s="663" t="s">
        <v>14</v>
      </c>
      <c r="S29" s="664">
        <f>F29</f>
        <v>100</v>
      </c>
      <c r="T29" s="663" t="s">
        <v>14</v>
      </c>
      <c r="U29" s="664">
        <f>H29</f>
        <v>100</v>
      </c>
      <c r="V29" s="663" t="s">
        <v>14</v>
      </c>
      <c r="W29" s="664">
        <f>J29</f>
        <v>100</v>
      </c>
      <c r="X29" s="665"/>
      <c r="Y29" s="3437"/>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37"/>
      <c r="Q30" s="529"/>
      <c r="R30" s="663"/>
      <c r="S30" s="664"/>
      <c r="T30" s="663"/>
      <c r="U30" s="664"/>
      <c r="V30" s="663"/>
      <c r="W30" s="664"/>
      <c r="X30" s="665"/>
      <c r="Y30" s="3437"/>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37"/>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37"/>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37"/>
      <c r="Q32" s="1261" t="str">
        <f t="shared" si="8"/>
        <v>毗邻道路的类型与等级</v>
      </c>
      <c r="R32" s="666" t="s">
        <v>14</v>
      </c>
      <c r="S32" s="667">
        <f t="shared" si="9"/>
        <v>100</v>
      </c>
      <c r="T32" s="666" t="s">
        <v>14</v>
      </c>
      <c r="U32" s="667">
        <f t="shared" si="10"/>
        <v>100</v>
      </c>
      <c r="V32" s="666" t="s">
        <v>14</v>
      </c>
      <c r="W32" s="667">
        <f t="shared" si="11"/>
        <v>100</v>
      </c>
      <c r="X32" s="1263"/>
      <c r="Y32" s="3437"/>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37"/>
      <c r="Q33" s="1261"/>
      <c r="R33" s="666"/>
      <c r="S33" s="667"/>
      <c r="T33" s="666"/>
      <c r="U33" s="667"/>
      <c r="V33" s="666"/>
      <c r="W33" s="667"/>
      <c r="X33" s="1263"/>
      <c r="Y33" s="3437"/>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37"/>
      <c r="Q34" s="1261" t="str">
        <f t="shared" si="8"/>
        <v>土地级别</v>
      </c>
      <c r="R34" s="666" t="s">
        <v>14</v>
      </c>
      <c r="S34" s="667">
        <f t="shared" si="9"/>
        <v>100</v>
      </c>
      <c r="T34" s="666" t="s">
        <v>14</v>
      </c>
      <c r="U34" s="667">
        <f t="shared" si="10"/>
        <v>100</v>
      </c>
      <c r="V34" s="666" t="s">
        <v>14</v>
      </c>
      <c r="W34" s="667">
        <f t="shared" si="11"/>
        <v>100</v>
      </c>
      <c r="X34" s="1263"/>
      <c r="Y34" s="3437"/>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37"/>
      <c r="Q35" s="1261">
        <f t="shared" si="8"/>
        <v>111</v>
      </c>
      <c r="R35" s="666" t="s">
        <v>14</v>
      </c>
      <c r="S35" s="667">
        <f t="shared" si="9"/>
        <v>100</v>
      </c>
      <c r="T35" s="666" t="s">
        <v>14</v>
      </c>
      <c r="U35" s="667">
        <f t="shared" si="10"/>
        <v>100</v>
      </c>
      <c r="V35" s="666" t="s">
        <v>14</v>
      </c>
      <c r="W35" s="667">
        <f t="shared" si="11"/>
        <v>100</v>
      </c>
      <c r="X35" s="1263"/>
      <c r="Y35" s="3437"/>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95" t="s">
        <v>1696</v>
      </c>
      <c r="Q36" s="1261">
        <f t="shared" si="8"/>
        <v>111</v>
      </c>
      <c r="R36" s="666" t="s">
        <v>14</v>
      </c>
      <c r="S36" s="667">
        <f t="shared" si="9"/>
        <v>100</v>
      </c>
      <c r="T36" s="666" t="s">
        <v>14</v>
      </c>
      <c r="U36" s="667">
        <f t="shared" si="10"/>
        <v>100</v>
      </c>
      <c r="V36" s="666" t="s">
        <v>14</v>
      </c>
      <c r="W36" s="667">
        <f t="shared" si="11"/>
        <v>100</v>
      </c>
      <c r="X36" s="1263"/>
      <c r="Y36" s="3441"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41"/>
      <c r="Q37" s="1261">
        <f t="shared" si="8"/>
        <v>111</v>
      </c>
      <c r="R37" s="668" t="s">
        <v>14</v>
      </c>
      <c r="S37" s="669">
        <f t="shared" si="9"/>
        <v>100</v>
      </c>
      <c r="T37" s="668" t="s">
        <v>14</v>
      </c>
      <c r="U37" s="669">
        <f t="shared" si="10"/>
        <v>100</v>
      </c>
      <c r="V37" s="668" t="s">
        <v>14</v>
      </c>
      <c r="W37" s="669">
        <f t="shared" si="11"/>
        <v>100</v>
      </c>
      <c r="X37" s="670"/>
      <c r="Y37" s="3441"/>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41"/>
      <c r="Q38" s="1261" t="str">
        <f>B38</f>
        <v>宗地面积</v>
      </c>
      <c r="R38" s="666" t="s">
        <v>14</v>
      </c>
      <c r="S38" s="667" t="e">
        <f t="shared" si="9"/>
        <v>#N/A</v>
      </c>
      <c r="T38" s="666" t="s">
        <v>14</v>
      </c>
      <c r="U38" s="667" t="e">
        <f t="shared" si="10"/>
        <v>#N/A</v>
      </c>
      <c r="V38" s="666" t="s">
        <v>14</v>
      </c>
      <c r="W38" s="667" t="e">
        <f t="shared" si="11"/>
        <v>#N/A</v>
      </c>
      <c r="X38" s="1263"/>
      <c r="Y38" s="3441"/>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41"/>
      <c r="Q39" s="1261" t="str">
        <f t="shared" ref="Q39:Q45" si="13">B39</f>
        <v>宗地形状</v>
      </c>
      <c r="R39" s="666" t="s">
        <v>14</v>
      </c>
      <c r="S39" s="667">
        <f t="shared" si="9"/>
        <v>100</v>
      </c>
      <c r="T39" s="666" t="s">
        <v>14</v>
      </c>
      <c r="U39" s="667">
        <f t="shared" si="10"/>
        <v>100</v>
      </c>
      <c r="V39" s="666" t="s">
        <v>14</v>
      </c>
      <c r="W39" s="667">
        <f t="shared" si="11"/>
        <v>100</v>
      </c>
      <c r="X39" s="1263"/>
      <c r="Y39" s="3441"/>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41"/>
      <c r="Q40" s="1261" t="str">
        <f t="shared" si="13"/>
        <v>临街宽度及深度</v>
      </c>
      <c r="R40" s="666" t="s">
        <v>14</v>
      </c>
      <c r="S40" s="667">
        <f t="shared" si="9"/>
        <v>100</v>
      </c>
      <c r="T40" s="666" t="s">
        <v>14</v>
      </c>
      <c r="U40" s="667">
        <f t="shared" si="10"/>
        <v>100</v>
      </c>
      <c r="V40" s="666" t="s">
        <v>14</v>
      </c>
      <c r="W40" s="667">
        <f t="shared" si="11"/>
        <v>100</v>
      </c>
      <c r="X40" s="1263"/>
      <c r="Y40" s="3441"/>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41"/>
      <c r="Q41" s="1261" t="str">
        <f t="shared" si="13"/>
        <v>宗地开发程度</v>
      </c>
      <c r="R41" s="663" t="s">
        <v>14</v>
      </c>
      <c r="S41" s="664">
        <f t="shared" si="9"/>
        <v>100</v>
      </c>
      <c r="T41" s="663" t="s">
        <v>14</v>
      </c>
      <c r="U41" s="664">
        <f t="shared" si="10"/>
        <v>100</v>
      </c>
      <c r="V41" s="663" t="s">
        <v>14</v>
      </c>
      <c r="W41" s="664">
        <f t="shared" si="11"/>
        <v>100</v>
      </c>
      <c r="X41" s="665"/>
      <c r="Y41" s="3441"/>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41" t="s">
        <v>1696</v>
      </c>
      <c r="Q42" s="1261" t="str">
        <f t="shared" si="13"/>
        <v>工程地质条件</v>
      </c>
      <c r="R42" s="666" t="s">
        <v>14</v>
      </c>
      <c r="S42" s="667">
        <f t="shared" si="9"/>
        <v>100</v>
      </c>
      <c r="T42" s="666" t="s">
        <v>14</v>
      </c>
      <c r="U42" s="667">
        <f t="shared" si="10"/>
        <v>100</v>
      </c>
      <c r="V42" s="666" t="s">
        <v>14</v>
      </c>
      <c r="W42" s="667">
        <f t="shared" si="11"/>
        <v>100</v>
      </c>
      <c r="X42" s="1263"/>
      <c r="Y42" s="3441"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41"/>
      <c r="Q43" s="1261">
        <f t="shared" si="13"/>
        <v>111</v>
      </c>
      <c r="R43" s="666" t="s">
        <v>14</v>
      </c>
      <c r="S43" s="667">
        <f t="shared" si="9"/>
        <v>100</v>
      </c>
      <c r="T43" s="666" t="s">
        <v>14</v>
      </c>
      <c r="U43" s="667">
        <f t="shared" si="10"/>
        <v>100</v>
      </c>
      <c r="V43" s="666" t="s">
        <v>14</v>
      </c>
      <c r="W43" s="667">
        <f t="shared" si="11"/>
        <v>100</v>
      </c>
      <c r="X43" s="1263"/>
      <c r="Y43" s="3441"/>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41"/>
      <c r="Q44" s="1261">
        <f t="shared" si="13"/>
        <v>111</v>
      </c>
      <c r="R44" s="666" t="s">
        <v>14</v>
      </c>
      <c r="S44" s="667">
        <f t="shared" si="9"/>
        <v>100</v>
      </c>
      <c r="T44" s="666" t="s">
        <v>14</v>
      </c>
      <c r="U44" s="667">
        <f t="shared" si="10"/>
        <v>100</v>
      </c>
      <c r="V44" s="666" t="s">
        <v>14</v>
      </c>
      <c r="W44" s="667">
        <f t="shared" si="11"/>
        <v>100</v>
      </c>
      <c r="X44" s="1263"/>
      <c r="Y44" s="3441"/>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41"/>
      <c r="Q45" s="1261">
        <f t="shared" si="13"/>
        <v>111</v>
      </c>
      <c r="R45" s="668" t="s">
        <v>14</v>
      </c>
      <c r="S45" s="669">
        <f t="shared" si="9"/>
        <v>100</v>
      </c>
      <c r="T45" s="668" t="s">
        <v>14</v>
      </c>
      <c r="U45" s="669">
        <f t="shared" si="10"/>
        <v>100</v>
      </c>
      <c r="V45" s="668" t="s">
        <v>14</v>
      </c>
      <c r="W45" s="669">
        <f t="shared" si="11"/>
        <v>100</v>
      </c>
      <c r="X45" s="670"/>
      <c r="Y45" s="3441"/>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34" t="str">
        <f>A46</f>
        <v>成交单价</v>
      </c>
      <c r="Q46" s="3434"/>
      <c r="R46" s="3435">
        <f>E46</f>
        <v>0</v>
      </c>
      <c r="S46" s="3435"/>
      <c r="T46" s="3435">
        <f>G46</f>
        <v>0</v>
      </c>
      <c r="U46" s="3435"/>
      <c r="V46" s="3435">
        <f>I46</f>
        <v>0</v>
      </c>
      <c r="W46" s="3435"/>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34" t="str">
        <f>A47</f>
        <v>比较价值（元/平方米）</v>
      </c>
      <c r="Q47" s="3434"/>
      <c r="R47" s="3497" t="e">
        <f>ROUND(PRODUCT(R46,AA7:AA45),0)</f>
        <v>#DIV/0!</v>
      </c>
      <c r="S47" s="3497"/>
      <c r="T47" s="3497" t="e">
        <f>ROUND(PRODUCT(T46,AB7:AB45),0)</f>
        <v>#DIV/0!</v>
      </c>
      <c r="U47" s="3497"/>
      <c r="V47" s="3497" t="e">
        <f>ROUND(PRODUCT(V46,AC7:AC45),0)</f>
        <v>#DIV/0!</v>
      </c>
      <c r="W47" s="3497"/>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31" t="str">
        <f>A48</f>
        <v>估价对象XX用房的比较价值（楼面单价，元/平方米）</v>
      </c>
      <c r="Q48" s="3432"/>
      <c r="R48" s="3498" t="e">
        <f>ROUND(IF(D47="简单平均",AVERAGE(R47:W47),R47*F47+T47*H47+V47*J47),0)</f>
        <v>#DIV/0!</v>
      </c>
      <c r="S48" s="3498"/>
      <c r="T48" s="3498"/>
      <c r="U48" s="3498"/>
      <c r="V48" s="3498"/>
      <c r="W48" s="3498"/>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49" t="s">
        <v>1884</v>
      </c>
      <c r="H55" s="3499"/>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54242.66</v>
      </c>
      <c r="F56" s="832" t="e">
        <f t="shared" ref="F56:F64" si="14">ROUND(B56*E56/10000,0)</f>
        <v>#DIV/0!</v>
      </c>
      <c r="G56" s="3445"/>
      <c r="H56" s="3434"/>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六级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54242.66</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2024-12-1</v>
      </c>
      <c r="D67" s="655">
        <f>EDATE(C67,-3)</f>
        <v>45536</v>
      </c>
      <c r="E67" s="655">
        <f>EDATE(D67,-3)</f>
        <v>45444</v>
      </c>
      <c r="F67" s="655">
        <f t="shared" ref="F67:O67" si="17">EDATE(E67,-3)</f>
        <v>45352</v>
      </c>
      <c r="G67" s="655">
        <f t="shared" si="17"/>
        <v>45261</v>
      </c>
      <c r="H67" s="655">
        <f t="shared" si="17"/>
        <v>45170</v>
      </c>
      <c r="I67" s="655">
        <f t="shared" si="17"/>
        <v>45078</v>
      </c>
      <c r="J67" s="655">
        <f t="shared" si="17"/>
        <v>44986</v>
      </c>
      <c r="K67" s="655">
        <f t="shared" si="17"/>
        <v>44896</v>
      </c>
      <c r="L67" s="655">
        <f t="shared" si="17"/>
        <v>44805</v>
      </c>
      <c r="M67" s="655">
        <f t="shared" si="17"/>
        <v>44713</v>
      </c>
      <c r="N67" s="655">
        <f t="shared" si="17"/>
        <v>44621</v>
      </c>
      <c r="O67" s="655">
        <f t="shared" si="17"/>
        <v>44531</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2024-4</v>
      </c>
      <c r="D69" s="1099" t="str">
        <f>YEAR(D67)&amp;"-"&amp;ROUNDUP(MONTH(D67)/3,0)</f>
        <v>2024-3</v>
      </c>
      <c r="E69" s="1099" t="str">
        <f t="shared" ref="E69:O69" si="18">YEAR(E67)&amp;"-"&amp;ROUNDUP(MONTH(E67)/3,0)</f>
        <v>2024-2</v>
      </c>
      <c r="F69" s="1099" t="str">
        <f t="shared" si="18"/>
        <v>2024-1</v>
      </c>
      <c r="G69" s="1099" t="str">
        <f t="shared" si="18"/>
        <v>2023-4</v>
      </c>
      <c r="H69" s="1099" t="str">
        <f t="shared" si="18"/>
        <v>2023-3</v>
      </c>
      <c r="I69" s="1099" t="str">
        <f t="shared" si="18"/>
        <v>2023-2</v>
      </c>
      <c r="J69" s="1099" t="str">
        <f t="shared" si="18"/>
        <v>2023-1</v>
      </c>
      <c r="K69" s="1099" t="str">
        <f t="shared" si="18"/>
        <v>2022-4</v>
      </c>
      <c r="L69" s="1099" t="str">
        <f t="shared" si="18"/>
        <v>2022-3</v>
      </c>
      <c r="M69" s="1099" t="str">
        <f t="shared" si="18"/>
        <v>2022-2</v>
      </c>
      <c r="N69" s="1099" t="str">
        <f t="shared" si="18"/>
        <v>2022-1</v>
      </c>
      <c r="O69" s="1099" t="str">
        <f t="shared" si="18"/>
        <v>2021-4</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42" priority="13" stopIfTrue="1">
      <formula>$F$51="超过30%"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F7:F45 H7:H45 J7:J45">
    <cfRule type="cellIs" dxfId="39" priority="1" operator="notEqual">
      <formula>100</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49" t="s">
        <v>1767</v>
      </c>
      <c r="D4" s="3450"/>
      <c r="E4" s="3451" t="s">
        <v>1768</v>
      </c>
      <c r="F4" s="3452"/>
      <c r="G4" s="3449" t="s">
        <v>1769</v>
      </c>
      <c r="H4" s="3450"/>
      <c r="I4" s="3449" t="s">
        <v>1770</v>
      </c>
      <c r="J4" s="3450"/>
      <c r="K4" s="536" t="s">
        <v>1771</v>
      </c>
      <c r="L4" s="2481"/>
      <c r="M4" s="2482"/>
      <c r="N4" s="2482"/>
      <c r="O4" s="2482"/>
      <c r="P4" s="3453" t="s">
        <v>1772</v>
      </c>
      <c r="Q4" s="3454"/>
      <c r="R4" s="3459" t="s">
        <v>1768</v>
      </c>
      <c r="S4" s="3460"/>
      <c r="T4" s="3459" t="s">
        <v>1769</v>
      </c>
      <c r="U4" s="3460"/>
      <c r="V4" s="3435" t="s">
        <v>1770</v>
      </c>
      <c r="W4" s="3435"/>
      <c r="X4" s="1263"/>
      <c r="Y4" s="3459" t="s">
        <v>1772</v>
      </c>
      <c r="Z4" s="3460"/>
      <c r="AA4" s="3446" t="s">
        <v>1768</v>
      </c>
      <c r="AB4" s="3447" t="s">
        <v>1769</v>
      </c>
      <c r="AC4" s="3446" t="s">
        <v>1770</v>
      </c>
    </row>
    <row r="5" spans="1:29" ht="15">
      <c r="A5" s="347"/>
      <c r="B5" s="348"/>
      <c r="C5" s="3478" t="s">
        <v>1673</v>
      </c>
      <c r="D5" s="3473"/>
      <c r="E5" s="3479" t="s">
        <v>1674</v>
      </c>
      <c r="F5" s="3477"/>
      <c r="G5" s="3478" t="s">
        <v>1675</v>
      </c>
      <c r="H5" s="3473"/>
      <c r="I5" s="3478" t="s">
        <v>1676</v>
      </c>
      <c r="J5" s="3473"/>
      <c r="K5" s="536"/>
      <c r="L5" s="2481"/>
      <c r="M5" s="2482"/>
      <c r="N5" s="2482"/>
      <c r="O5" s="2482"/>
      <c r="P5" s="3455"/>
      <c r="Q5" s="3456"/>
      <c r="R5" s="3461"/>
      <c r="S5" s="3462"/>
      <c r="T5" s="3461"/>
      <c r="U5" s="3462"/>
      <c r="V5" s="3435"/>
      <c r="W5" s="3435"/>
      <c r="X5" s="1263"/>
      <c r="Y5" s="3461"/>
      <c r="Z5" s="3462"/>
      <c r="AA5" s="3447"/>
      <c r="AB5" s="3447"/>
      <c r="AC5" s="3447"/>
    </row>
    <row r="6" spans="1:29" ht="15.75" thickBot="1">
      <c r="A6" s="349"/>
      <c r="B6" s="350"/>
      <c r="C6" s="3500" t="s">
        <v>1916</v>
      </c>
      <c r="D6" s="3501"/>
      <c r="E6" s="3502" t="s">
        <v>1916</v>
      </c>
      <c r="F6" s="3503"/>
      <c r="G6" s="3500" t="s">
        <v>1916</v>
      </c>
      <c r="H6" s="3501"/>
      <c r="I6" s="3500" t="s">
        <v>1916</v>
      </c>
      <c r="J6" s="3501"/>
      <c r="K6" s="536" t="s">
        <v>1678</v>
      </c>
      <c r="L6" s="2481"/>
      <c r="M6" s="2482"/>
      <c r="N6" s="2482"/>
      <c r="O6" s="2482"/>
      <c r="P6" s="3457"/>
      <c r="Q6" s="3458"/>
      <c r="R6" s="3461"/>
      <c r="S6" s="3462"/>
      <c r="T6" s="3463"/>
      <c r="U6" s="3464"/>
      <c r="V6" s="3435"/>
      <c r="W6" s="3435"/>
      <c r="X6" s="1263"/>
      <c r="Y6" s="3463"/>
      <c r="Z6" s="3464"/>
      <c r="AA6" s="3448"/>
      <c r="AB6" s="3448"/>
      <c r="AC6" s="3448"/>
    </row>
    <row r="7" spans="1:29" s="101" customFormat="1" ht="15.75" thickBot="1">
      <c r="A7" s="351" t="s">
        <v>1679</v>
      </c>
      <c r="B7" s="352"/>
      <c r="C7" s="353">
        <f>'数据-取费表'!B2</f>
        <v>45652</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69" t="s">
        <v>1680</v>
      </c>
      <c r="Q7" s="3471"/>
      <c r="R7" s="663" t="s">
        <v>14</v>
      </c>
      <c r="S7" s="664">
        <f t="shared" ref="S7:S15" si="0">F7</f>
        <v>0</v>
      </c>
      <c r="T7" s="663" t="s">
        <v>14</v>
      </c>
      <c r="U7" s="664">
        <f t="shared" ref="U7:U15" si="1">H7</f>
        <v>0</v>
      </c>
      <c r="V7" s="663" t="s">
        <v>14</v>
      </c>
      <c r="W7" s="664">
        <f t="shared" ref="W7:W15" si="2">J7</f>
        <v>0</v>
      </c>
      <c r="X7" s="665"/>
      <c r="Y7" s="3469" t="s">
        <v>1680</v>
      </c>
      <c r="Z7" s="3470"/>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69" t="s">
        <v>1683</v>
      </c>
      <c r="Q8" s="3470"/>
      <c r="R8" s="663" t="s">
        <v>14</v>
      </c>
      <c r="S8" s="664">
        <f t="shared" si="0"/>
        <v>0</v>
      </c>
      <c r="T8" s="663" t="s">
        <v>14</v>
      </c>
      <c r="U8" s="664">
        <f t="shared" si="1"/>
        <v>0</v>
      </c>
      <c r="V8" s="663" t="s">
        <v>14</v>
      </c>
      <c r="W8" s="664">
        <f t="shared" si="2"/>
        <v>0</v>
      </c>
      <c r="X8" s="665"/>
      <c r="Y8" s="3469" t="s">
        <v>1683</v>
      </c>
      <c r="Z8" s="3470"/>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34" t="s">
        <v>1686</v>
      </c>
      <c r="Q9" s="529" t="str">
        <f t="shared" ref="Q9:Q15" si="6">B9</f>
        <v>用途</v>
      </c>
      <c r="R9" s="663" t="s">
        <v>14</v>
      </c>
      <c r="S9" s="664">
        <f t="shared" si="0"/>
        <v>100</v>
      </c>
      <c r="T9" s="663" t="s">
        <v>14</v>
      </c>
      <c r="U9" s="664">
        <f t="shared" si="1"/>
        <v>100</v>
      </c>
      <c r="V9" s="663" t="s">
        <v>14</v>
      </c>
      <c r="W9" s="664">
        <f t="shared" si="2"/>
        <v>100</v>
      </c>
      <c r="X9" s="665"/>
      <c r="Y9" s="330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111</v>
      </c>
      <c r="G10" s="370"/>
      <c r="H10" s="118">
        <f>ROUND(100/'数据-取费表'!G16,0)</f>
        <v>111</v>
      </c>
      <c r="I10" s="370"/>
      <c r="J10" s="118">
        <f>ROUND(100/'数据-取费表'!G16,0)</f>
        <v>111</v>
      </c>
      <c r="K10" s="591"/>
      <c r="L10" s="2484"/>
      <c r="M10" s="2485"/>
      <c r="N10" s="2485"/>
      <c r="O10" s="2536"/>
      <c r="P10" s="3434"/>
      <c r="Q10" s="529" t="str">
        <f t="shared" si="6"/>
        <v>土地使用年限（年）</v>
      </c>
      <c r="R10" s="663" t="s">
        <v>14</v>
      </c>
      <c r="S10" s="664">
        <f t="shared" si="0"/>
        <v>111</v>
      </c>
      <c r="T10" s="663" t="s">
        <v>14</v>
      </c>
      <c r="U10" s="664">
        <f t="shared" si="1"/>
        <v>111</v>
      </c>
      <c r="V10" s="663" t="s">
        <v>14</v>
      </c>
      <c r="W10" s="664">
        <f t="shared" si="2"/>
        <v>111</v>
      </c>
      <c r="X10" s="665"/>
      <c r="Y10" s="3309"/>
      <c r="Z10" s="50" t="str">
        <f t="shared" si="7"/>
        <v>土地使用年限（年）</v>
      </c>
      <c r="AA10" s="50">
        <f t="shared" si="3"/>
        <v>0.90090090090090091</v>
      </c>
      <c r="AB10" s="50">
        <f t="shared" si="4"/>
        <v>0.90090090090090091</v>
      </c>
      <c r="AC10" s="50">
        <f t="shared" si="5"/>
        <v>0.90090090090090091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34"/>
      <c r="Q11" s="529" t="str">
        <f t="shared" si="6"/>
        <v>容积率</v>
      </c>
      <c r="R11" s="663" t="s">
        <v>14</v>
      </c>
      <c r="S11" s="664" t="e">
        <f t="shared" si="0"/>
        <v>#N/A</v>
      </c>
      <c r="T11" s="663" t="s">
        <v>14</v>
      </c>
      <c r="U11" s="664" t="e">
        <f t="shared" si="1"/>
        <v>#N/A</v>
      </c>
      <c r="V11" s="663" t="s">
        <v>14</v>
      </c>
      <c r="W11" s="664" t="e">
        <f t="shared" si="2"/>
        <v>#N/A</v>
      </c>
      <c r="X11" s="665"/>
      <c r="Y11" s="3309"/>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34"/>
      <c r="Q12" s="529">
        <f t="shared" si="6"/>
        <v>111</v>
      </c>
      <c r="R12" s="663" t="s">
        <v>14</v>
      </c>
      <c r="S12" s="664">
        <f t="shared" si="0"/>
        <v>100</v>
      </c>
      <c r="T12" s="663" t="s">
        <v>14</v>
      </c>
      <c r="U12" s="664">
        <f t="shared" si="1"/>
        <v>100</v>
      </c>
      <c r="V12" s="663" t="s">
        <v>14</v>
      </c>
      <c r="W12" s="664">
        <f t="shared" si="2"/>
        <v>100</v>
      </c>
      <c r="X12" s="665"/>
      <c r="Y12" s="330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34"/>
      <c r="Q13" s="529">
        <f t="shared" si="6"/>
        <v>111</v>
      </c>
      <c r="R13" s="663" t="s">
        <v>14</v>
      </c>
      <c r="S13" s="664">
        <f t="shared" si="0"/>
        <v>100</v>
      </c>
      <c r="T13" s="663" t="s">
        <v>14</v>
      </c>
      <c r="U13" s="664">
        <f t="shared" si="1"/>
        <v>100</v>
      </c>
      <c r="V13" s="663" t="s">
        <v>14</v>
      </c>
      <c r="W13" s="664">
        <f t="shared" si="2"/>
        <v>100</v>
      </c>
      <c r="X13" s="665"/>
      <c r="Y13" s="3309"/>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34"/>
      <c r="Q14" s="529">
        <f t="shared" si="6"/>
        <v>111</v>
      </c>
      <c r="R14" s="663" t="s">
        <v>14</v>
      </c>
      <c r="S14" s="664">
        <f t="shared" si="0"/>
        <v>100</v>
      </c>
      <c r="T14" s="663" t="s">
        <v>14</v>
      </c>
      <c r="U14" s="664">
        <f t="shared" si="1"/>
        <v>100</v>
      </c>
      <c r="V14" s="663" t="s">
        <v>14</v>
      </c>
      <c r="W14" s="664">
        <f t="shared" si="2"/>
        <v>100</v>
      </c>
      <c r="X14" s="665"/>
      <c r="Y14" s="3309"/>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36" t="s">
        <v>1691</v>
      </c>
      <c r="Q15" s="1261" t="str">
        <f t="shared" si="6"/>
        <v>产业集聚程度</v>
      </c>
      <c r="R15" s="666" t="s">
        <v>14</v>
      </c>
      <c r="S15" s="667">
        <f t="shared" si="0"/>
        <v>100</v>
      </c>
      <c r="T15" s="666" t="s">
        <v>14</v>
      </c>
      <c r="U15" s="667">
        <f t="shared" si="1"/>
        <v>100</v>
      </c>
      <c r="V15" s="666" t="s">
        <v>14</v>
      </c>
      <c r="W15" s="667">
        <f t="shared" si="2"/>
        <v>100</v>
      </c>
      <c r="X15" s="1263"/>
      <c r="Y15" s="3436"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37"/>
      <c r="Q16" s="1261"/>
      <c r="R16" s="666"/>
      <c r="S16" s="667"/>
      <c r="T16" s="666"/>
      <c r="U16" s="667"/>
      <c r="V16" s="666"/>
      <c r="W16" s="667"/>
      <c r="X16" s="1263"/>
      <c r="Y16" s="3437"/>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37"/>
      <c r="Q17" s="1261" t="str">
        <f>B17</f>
        <v>交通便捷度</v>
      </c>
      <c r="R17" s="666" t="s">
        <v>14</v>
      </c>
      <c r="S17" s="667">
        <f>F17</f>
        <v>100</v>
      </c>
      <c r="T17" s="666" t="s">
        <v>14</v>
      </c>
      <c r="U17" s="667">
        <f>H17</f>
        <v>100</v>
      </c>
      <c r="V17" s="666" t="s">
        <v>14</v>
      </c>
      <c r="W17" s="667">
        <f>J17</f>
        <v>100</v>
      </c>
      <c r="X17" s="1263"/>
      <c r="Y17" s="3437"/>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37"/>
      <c r="Q18" s="1261"/>
      <c r="R18" s="666"/>
      <c r="S18" s="667"/>
      <c r="T18" s="666"/>
      <c r="U18" s="667"/>
      <c r="V18" s="666"/>
      <c r="W18" s="667"/>
      <c r="X18" s="1263"/>
      <c r="Y18" s="3437"/>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37"/>
      <c r="Q19" s="1261" t="str">
        <f t="shared" ref="Q19:Q33" si="8">B19</f>
        <v>区域土地利用方向</v>
      </c>
      <c r="R19" s="666" t="s">
        <v>14</v>
      </c>
      <c r="S19" s="667">
        <f>F19</f>
        <v>100</v>
      </c>
      <c r="T19" s="666" t="s">
        <v>14</v>
      </c>
      <c r="U19" s="667">
        <f>H19</f>
        <v>100</v>
      </c>
      <c r="V19" s="666" t="s">
        <v>14</v>
      </c>
      <c r="W19" s="667">
        <f>J19</f>
        <v>100</v>
      </c>
      <c r="X19" s="1263"/>
      <c r="Y19" s="3437"/>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37"/>
      <c r="Q20" s="1261"/>
      <c r="R20" s="666"/>
      <c r="S20" s="667"/>
      <c r="T20" s="666"/>
      <c r="U20" s="667"/>
      <c r="V20" s="666"/>
      <c r="W20" s="667"/>
      <c r="X20" s="1263"/>
      <c r="Y20" s="3437"/>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37"/>
      <c r="Q21" s="1261" t="str">
        <f t="shared" si="8"/>
        <v>环境状况</v>
      </c>
      <c r="R21" s="666" t="s">
        <v>14</v>
      </c>
      <c r="S21" s="667">
        <f>F21</f>
        <v>100</v>
      </c>
      <c r="T21" s="666" t="s">
        <v>14</v>
      </c>
      <c r="U21" s="667">
        <f>H21</f>
        <v>100</v>
      </c>
      <c r="V21" s="666" t="s">
        <v>14</v>
      </c>
      <c r="W21" s="667">
        <f>J21</f>
        <v>100</v>
      </c>
      <c r="X21" s="1263"/>
      <c r="Y21" s="3437"/>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37"/>
      <c r="Q22" s="1261"/>
      <c r="R22" s="666"/>
      <c r="S22" s="667"/>
      <c r="T22" s="666"/>
      <c r="U22" s="667"/>
      <c r="V22" s="666"/>
      <c r="W22" s="667"/>
      <c r="X22" s="1263"/>
      <c r="Y22" s="3437"/>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37"/>
      <c r="Q23" s="529" t="str">
        <f t="shared" si="8"/>
        <v>公共配套设施</v>
      </c>
      <c r="R23" s="663" t="s">
        <v>14</v>
      </c>
      <c r="S23" s="664">
        <f>F23</f>
        <v>100</v>
      </c>
      <c r="T23" s="663" t="s">
        <v>14</v>
      </c>
      <c r="U23" s="664">
        <f>H23</f>
        <v>100</v>
      </c>
      <c r="V23" s="663" t="s">
        <v>14</v>
      </c>
      <c r="W23" s="664">
        <f>J23</f>
        <v>100</v>
      </c>
      <c r="X23" s="665"/>
      <c r="Y23" s="3437"/>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37"/>
      <c r="Q24" s="529"/>
      <c r="R24" s="663"/>
      <c r="S24" s="664"/>
      <c r="T24" s="663"/>
      <c r="U24" s="664"/>
      <c r="V24" s="663"/>
      <c r="W24" s="664"/>
      <c r="X24" s="665"/>
      <c r="Y24" s="3437"/>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37"/>
      <c r="Q25" s="529" t="str">
        <f>B25</f>
        <v>基础设施水平</v>
      </c>
      <c r="R25" s="663" t="s">
        <v>14</v>
      </c>
      <c r="S25" s="664">
        <f>F25</f>
        <v>100</v>
      </c>
      <c r="T25" s="663" t="s">
        <v>14</v>
      </c>
      <c r="U25" s="664">
        <f>H25</f>
        <v>100</v>
      </c>
      <c r="V25" s="663" t="s">
        <v>14</v>
      </c>
      <c r="W25" s="664">
        <f>J25</f>
        <v>100</v>
      </c>
      <c r="X25" s="665"/>
      <c r="Y25" s="3437"/>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37"/>
      <c r="Q26" s="529"/>
      <c r="R26" s="663"/>
      <c r="S26" s="664"/>
      <c r="T26" s="663"/>
      <c r="U26" s="664"/>
      <c r="V26" s="663"/>
      <c r="W26" s="664"/>
      <c r="X26" s="665"/>
      <c r="Y26" s="3437"/>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37"/>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37"/>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37"/>
      <c r="Q28" s="1261" t="str">
        <f t="shared" si="8"/>
        <v>毗邻道路的类型与等级</v>
      </c>
      <c r="R28" s="666" t="s">
        <v>14</v>
      </c>
      <c r="S28" s="667">
        <f t="shared" si="9"/>
        <v>100</v>
      </c>
      <c r="T28" s="666" t="s">
        <v>14</v>
      </c>
      <c r="U28" s="667">
        <f t="shared" si="10"/>
        <v>100</v>
      </c>
      <c r="V28" s="666" t="s">
        <v>14</v>
      </c>
      <c r="W28" s="667">
        <f t="shared" si="11"/>
        <v>100</v>
      </c>
      <c r="X28" s="1263"/>
      <c r="Y28" s="3437"/>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37"/>
      <c r="Q29" s="1261"/>
      <c r="R29" s="666"/>
      <c r="S29" s="667"/>
      <c r="T29" s="666"/>
      <c r="U29" s="667"/>
      <c r="V29" s="666"/>
      <c r="W29" s="667"/>
      <c r="X29" s="1263"/>
      <c r="Y29" s="3437"/>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37"/>
      <c r="Q30" s="1261" t="str">
        <f t="shared" si="8"/>
        <v>土地级别</v>
      </c>
      <c r="R30" s="666" t="s">
        <v>14</v>
      </c>
      <c r="S30" s="667">
        <f t="shared" si="9"/>
        <v>100</v>
      </c>
      <c r="T30" s="666" t="s">
        <v>14</v>
      </c>
      <c r="U30" s="667">
        <f t="shared" si="10"/>
        <v>100</v>
      </c>
      <c r="V30" s="666" t="s">
        <v>14</v>
      </c>
      <c r="W30" s="667">
        <f t="shared" si="11"/>
        <v>100</v>
      </c>
      <c r="X30" s="1263"/>
      <c r="Y30" s="3437"/>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37"/>
      <c r="Q31" s="1261">
        <f t="shared" si="8"/>
        <v>111</v>
      </c>
      <c r="R31" s="666" t="s">
        <v>14</v>
      </c>
      <c r="S31" s="667">
        <f t="shared" si="9"/>
        <v>100</v>
      </c>
      <c r="T31" s="666" t="s">
        <v>14</v>
      </c>
      <c r="U31" s="667">
        <f t="shared" si="10"/>
        <v>100</v>
      </c>
      <c r="V31" s="666" t="s">
        <v>14</v>
      </c>
      <c r="W31" s="667">
        <f t="shared" si="11"/>
        <v>100</v>
      </c>
      <c r="X31" s="1263"/>
      <c r="Y31" s="3437"/>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95" t="s">
        <v>1696</v>
      </c>
      <c r="Q32" s="1261">
        <f t="shared" si="8"/>
        <v>111</v>
      </c>
      <c r="R32" s="666" t="s">
        <v>14</v>
      </c>
      <c r="S32" s="667">
        <f t="shared" si="9"/>
        <v>100</v>
      </c>
      <c r="T32" s="666" t="s">
        <v>14</v>
      </c>
      <c r="U32" s="667">
        <f t="shared" si="10"/>
        <v>100</v>
      </c>
      <c r="V32" s="666" t="s">
        <v>14</v>
      </c>
      <c r="W32" s="667">
        <f t="shared" si="11"/>
        <v>100</v>
      </c>
      <c r="X32" s="1263"/>
      <c r="Y32" s="3441"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41"/>
      <c r="Q33" s="1261">
        <f t="shared" si="8"/>
        <v>111</v>
      </c>
      <c r="R33" s="668" t="s">
        <v>14</v>
      </c>
      <c r="S33" s="669">
        <f t="shared" si="9"/>
        <v>100</v>
      </c>
      <c r="T33" s="668" t="s">
        <v>14</v>
      </c>
      <c r="U33" s="669">
        <f t="shared" si="10"/>
        <v>100</v>
      </c>
      <c r="V33" s="668" t="s">
        <v>14</v>
      </c>
      <c r="W33" s="669">
        <f t="shared" si="11"/>
        <v>100</v>
      </c>
      <c r="X33" s="670"/>
      <c r="Y33" s="3441"/>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41"/>
      <c r="Q34" s="1261" t="str">
        <f>B34</f>
        <v>宗地面积</v>
      </c>
      <c r="R34" s="666" t="s">
        <v>14</v>
      </c>
      <c r="S34" s="667" t="e">
        <f t="shared" si="9"/>
        <v>#N/A</v>
      </c>
      <c r="T34" s="666" t="s">
        <v>14</v>
      </c>
      <c r="U34" s="667" t="e">
        <f t="shared" si="10"/>
        <v>#N/A</v>
      </c>
      <c r="V34" s="666" t="s">
        <v>14</v>
      </c>
      <c r="W34" s="667" t="e">
        <f t="shared" si="11"/>
        <v>#N/A</v>
      </c>
      <c r="X34" s="1263"/>
      <c r="Y34" s="3441"/>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41"/>
      <c r="Q35" s="1261" t="str">
        <f t="shared" ref="Q35:Q40" si="13">B35</f>
        <v>宗地形状</v>
      </c>
      <c r="R35" s="666" t="s">
        <v>14</v>
      </c>
      <c r="S35" s="667">
        <f t="shared" si="9"/>
        <v>100</v>
      </c>
      <c r="T35" s="666" t="s">
        <v>14</v>
      </c>
      <c r="U35" s="667">
        <f t="shared" si="10"/>
        <v>100</v>
      </c>
      <c r="V35" s="666" t="s">
        <v>14</v>
      </c>
      <c r="W35" s="667">
        <f t="shared" si="11"/>
        <v>100</v>
      </c>
      <c r="X35" s="1263"/>
      <c r="Y35" s="3441"/>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41"/>
      <c r="Q36" s="1261" t="str">
        <f t="shared" si="13"/>
        <v>宗地开发程度</v>
      </c>
      <c r="R36" s="663" t="s">
        <v>14</v>
      </c>
      <c r="S36" s="664">
        <f t="shared" si="9"/>
        <v>100</v>
      </c>
      <c r="T36" s="663" t="s">
        <v>14</v>
      </c>
      <c r="U36" s="664">
        <f t="shared" si="10"/>
        <v>100</v>
      </c>
      <c r="V36" s="663" t="s">
        <v>14</v>
      </c>
      <c r="W36" s="664">
        <f t="shared" si="11"/>
        <v>100</v>
      </c>
      <c r="X36" s="665"/>
      <c r="Y36" s="3441"/>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41" t="s">
        <v>1696</v>
      </c>
      <c r="Q37" s="1261" t="str">
        <f t="shared" si="13"/>
        <v>工程地质条件</v>
      </c>
      <c r="R37" s="666" t="s">
        <v>14</v>
      </c>
      <c r="S37" s="667">
        <f t="shared" si="9"/>
        <v>100</v>
      </c>
      <c r="T37" s="666" t="s">
        <v>14</v>
      </c>
      <c r="U37" s="667">
        <f t="shared" si="10"/>
        <v>100</v>
      </c>
      <c r="V37" s="666" t="s">
        <v>14</v>
      </c>
      <c r="W37" s="667">
        <f t="shared" si="11"/>
        <v>100</v>
      </c>
      <c r="X37" s="1263"/>
      <c r="Y37" s="3441"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41"/>
      <c r="Q38" s="1261">
        <f t="shared" si="13"/>
        <v>111</v>
      </c>
      <c r="R38" s="666" t="s">
        <v>14</v>
      </c>
      <c r="S38" s="667">
        <f t="shared" si="9"/>
        <v>100</v>
      </c>
      <c r="T38" s="666" t="s">
        <v>14</v>
      </c>
      <c r="U38" s="667">
        <f t="shared" si="10"/>
        <v>100</v>
      </c>
      <c r="V38" s="666" t="s">
        <v>14</v>
      </c>
      <c r="W38" s="667">
        <f t="shared" si="11"/>
        <v>100</v>
      </c>
      <c r="X38" s="1263"/>
      <c r="Y38" s="3441"/>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41"/>
      <c r="Q39" s="1261">
        <f t="shared" si="13"/>
        <v>111</v>
      </c>
      <c r="R39" s="666" t="s">
        <v>14</v>
      </c>
      <c r="S39" s="667">
        <f t="shared" si="9"/>
        <v>100</v>
      </c>
      <c r="T39" s="666" t="s">
        <v>14</v>
      </c>
      <c r="U39" s="667">
        <f t="shared" si="10"/>
        <v>100</v>
      </c>
      <c r="V39" s="666" t="s">
        <v>14</v>
      </c>
      <c r="W39" s="667">
        <f t="shared" si="11"/>
        <v>100</v>
      </c>
      <c r="X39" s="1263"/>
      <c r="Y39" s="3441"/>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41"/>
      <c r="Q40" s="1261">
        <f t="shared" si="13"/>
        <v>111</v>
      </c>
      <c r="R40" s="668" t="s">
        <v>14</v>
      </c>
      <c r="S40" s="669">
        <f t="shared" si="9"/>
        <v>100</v>
      </c>
      <c r="T40" s="668" t="s">
        <v>14</v>
      </c>
      <c r="U40" s="669">
        <f t="shared" si="10"/>
        <v>100</v>
      </c>
      <c r="V40" s="668" t="s">
        <v>14</v>
      </c>
      <c r="W40" s="669">
        <f t="shared" si="11"/>
        <v>100</v>
      </c>
      <c r="X40" s="670"/>
      <c r="Y40" s="3441"/>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34" t="str">
        <f>A41</f>
        <v>成交单价</v>
      </c>
      <c r="Q41" s="3434"/>
      <c r="R41" s="3435">
        <f>E41</f>
        <v>0</v>
      </c>
      <c r="S41" s="3435"/>
      <c r="T41" s="3435">
        <f>G41</f>
        <v>0</v>
      </c>
      <c r="U41" s="3435"/>
      <c r="V41" s="3435">
        <f>I41</f>
        <v>0</v>
      </c>
      <c r="W41" s="3435"/>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34" t="str">
        <f>A42</f>
        <v>比较价值（元/平方米）</v>
      </c>
      <c r="Q42" s="3434"/>
      <c r="R42" s="3497" t="e">
        <f>ROUND(PRODUCT(R41,AA7:AA40),0)</f>
        <v>#DIV/0!</v>
      </c>
      <c r="S42" s="3497"/>
      <c r="T42" s="3497" t="e">
        <f>ROUND(PRODUCT(T41,AB7:AB40),0)</f>
        <v>#DIV/0!</v>
      </c>
      <c r="U42" s="3497"/>
      <c r="V42" s="3497" t="e">
        <f>ROUND(PRODUCT(V41,AC7:AC40),0)</f>
        <v>#DIV/0!</v>
      </c>
      <c r="W42" s="3497"/>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31" t="str">
        <f>A43</f>
        <v>估价对象XX用房的比较价值（楼面单价，元/平方米）</v>
      </c>
      <c r="Q43" s="3432"/>
      <c r="R43" s="3498" t="e">
        <f>ROUND(IF(D42="简单平均",AVERAGE(R42:W42),R42*F42+T42*H42+V42*J42),0)</f>
        <v>#DIV/0!</v>
      </c>
      <c r="S43" s="3498"/>
      <c r="T43" s="3498"/>
      <c r="U43" s="3498"/>
      <c r="V43" s="3498"/>
      <c r="W43" s="3498"/>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49" t="s">
        <v>1884</v>
      </c>
      <c r="H50" s="3499"/>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54242.66</v>
      </c>
      <c r="F51" s="610" t="e">
        <f t="shared" ref="F51:F60" si="14">ROUND(B51*E51/10000,0)</f>
        <v>#DIV/0!</v>
      </c>
      <c r="G51" s="3445"/>
      <c r="H51" s="3434"/>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六级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2024-12-1</v>
      </c>
      <c r="D63" s="655">
        <f>EDATE(C63,-3)</f>
        <v>45536</v>
      </c>
      <c r="E63" s="655">
        <f>EDATE(D63,-3)</f>
        <v>45444</v>
      </c>
      <c r="F63" s="655">
        <f t="shared" ref="F63:O63" si="17">EDATE(E63,-3)</f>
        <v>45352</v>
      </c>
      <c r="G63" s="655">
        <f t="shared" si="17"/>
        <v>45261</v>
      </c>
      <c r="H63" s="655">
        <f t="shared" si="17"/>
        <v>45170</v>
      </c>
      <c r="I63" s="655">
        <f t="shared" si="17"/>
        <v>45078</v>
      </c>
      <c r="J63" s="655">
        <f t="shared" si="17"/>
        <v>44986</v>
      </c>
      <c r="K63" s="655">
        <f t="shared" si="17"/>
        <v>44896</v>
      </c>
      <c r="L63" s="655">
        <f t="shared" si="17"/>
        <v>44805</v>
      </c>
      <c r="M63" s="655">
        <f t="shared" si="17"/>
        <v>44713</v>
      </c>
      <c r="N63" s="655">
        <f t="shared" si="17"/>
        <v>44621</v>
      </c>
      <c r="O63" s="655">
        <f t="shared" si="17"/>
        <v>44531</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2024-4</v>
      </c>
      <c r="D65" s="1099" t="str">
        <f t="shared" ref="D65:O65" si="18">YEAR(D63)&amp;"-"&amp;ROUNDUP(MONTH(D63)/3,0)</f>
        <v>2024-3</v>
      </c>
      <c r="E65" s="1099" t="str">
        <f t="shared" si="18"/>
        <v>2024-2</v>
      </c>
      <c r="F65" s="1099" t="str">
        <f t="shared" si="18"/>
        <v>2024-1</v>
      </c>
      <c r="G65" s="1099" t="str">
        <f t="shared" si="18"/>
        <v>2023-4</v>
      </c>
      <c r="H65" s="1099" t="str">
        <f t="shared" si="18"/>
        <v>2023-3</v>
      </c>
      <c r="I65" s="1099" t="str">
        <f t="shared" si="18"/>
        <v>2023-2</v>
      </c>
      <c r="J65" s="1099" t="str">
        <f t="shared" si="18"/>
        <v>2023-1</v>
      </c>
      <c r="K65" s="1099" t="str">
        <f t="shared" si="18"/>
        <v>2022-4</v>
      </c>
      <c r="L65" s="1099" t="str">
        <f t="shared" si="18"/>
        <v>2022-3</v>
      </c>
      <c r="M65" s="1099" t="str">
        <f t="shared" si="18"/>
        <v>2022-2</v>
      </c>
      <c r="N65" s="1099" t="str">
        <f t="shared" si="18"/>
        <v>2022-1</v>
      </c>
      <c r="O65" s="1099" t="str">
        <f t="shared" si="18"/>
        <v>2021-4</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6:F48 H46:H48 J46:J48">
    <cfRule type="containsText" dxfId="27" priority="14" stopIfTrue="1" operator="containsText" text="超过">
      <formula>NOT(ISERROR(SEARCH("超过",F46)))</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G48">
    <cfRule type="expression" dxfId="24" priority="12" stopIfTrue="1">
      <formula>$H$48="超过30%"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507" t="s">
        <v>2081</v>
      </c>
      <c r="D1" s="3508"/>
      <c r="E1" s="3508"/>
      <c r="F1" s="3508"/>
      <c r="G1" s="3508"/>
      <c r="H1" s="3508"/>
      <c r="I1" s="3508"/>
      <c r="J1" s="3508"/>
      <c r="K1" s="3508"/>
      <c r="L1" s="3508"/>
      <c r="M1" s="3508"/>
      <c r="N1" s="3508"/>
      <c r="O1" s="3508"/>
      <c r="P1" s="3508"/>
      <c r="Q1" s="3508"/>
      <c r="R1" s="3508"/>
      <c r="S1" s="3509"/>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504" t="s">
        <v>27</v>
      </c>
      <c r="D22" s="3505"/>
      <c r="E22" s="3505"/>
      <c r="F22" s="3505"/>
      <c r="G22" s="3505"/>
      <c r="H22" s="3505"/>
      <c r="I22" s="3505"/>
      <c r="J22" s="3505"/>
      <c r="K22" s="3505"/>
      <c r="L22" s="3505"/>
      <c r="M22" s="3505"/>
      <c r="N22" s="3505"/>
      <c r="O22" s="3505"/>
      <c r="P22" s="3505"/>
      <c r="Q22" s="3506"/>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54242.66</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54242.66</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DB21-C820-4E90-B588-3C982590CB93}">
  <sheetPr>
    <tabColor rgb="FF92D050"/>
    <pageSetUpPr fitToPage="1"/>
  </sheetPr>
  <dimension ref="A1:AC148"/>
  <sheetViews>
    <sheetView view="pageBreakPreview" topLeftCell="A21" zoomScale="90" zoomScaleNormal="60" zoomScaleSheetLayoutView="90" workbookViewId="0">
      <selection activeCell="J19" activeCellId="1" sqref="H19 J19"/>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3389</v>
      </c>
      <c r="F1" s="1733" t="s">
        <v>3510</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274.14240000000001</v>
      </c>
      <c r="C2" s="1735" t="s">
        <v>43</v>
      </c>
      <c r="D2" s="1051" t="e">
        <f ca="1">IF(E1="项目模式",SUMIF(INDIRECT("'"&amp;F2&amp;"'"&amp;"!A:A"),"承租人权益价值",INDIRECT("'"&amp;F2&amp;"'"&amp;"!c:c")),SUMIF(INDIRECT("'"&amp;F2&amp;"'"&amp;"!A:A"),"承租人权益价值（单套）",INDIRECT("'"&amp;F2&amp;"'"&amp;"!c:c")))</f>
        <v>#REF!</v>
      </c>
      <c r="E2" s="1736" t="s">
        <v>1463</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50.54</v>
      </c>
      <c r="C3" s="343" t="s">
        <v>1665</v>
      </c>
      <c r="D3" s="342">
        <f>IF(D1="",'数据-汇总表'!E3,SUMIF('数据-汇总表'!$C19:$C33,D1,'数据-汇总表'!$E19:$E33))</f>
        <v>54242.66</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49" t="s">
        <v>1667</v>
      </c>
      <c r="D4" s="3450"/>
      <c r="E4" s="3451" t="s">
        <v>1668</v>
      </c>
      <c r="F4" s="3452"/>
      <c r="G4" s="3449" t="s">
        <v>1669</v>
      </c>
      <c r="H4" s="3450"/>
      <c r="I4" s="3449" t="s">
        <v>1670</v>
      </c>
      <c r="J4" s="3450"/>
      <c r="K4" s="1742" t="s">
        <v>1671</v>
      </c>
      <c r="L4" s="2481"/>
      <c r="M4" s="2482"/>
      <c r="N4" s="2482"/>
      <c r="O4" s="2482"/>
      <c r="P4" s="3453" t="s">
        <v>1672</v>
      </c>
      <c r="Q4" s="3454"/>
      <c r="R4" s="3459" t="s">
        <v>1668</v>
      </c>
      <c r="S4" s="3460"/>
      <c r="T4" s="3459" t="s">
        <v>1669</v>
      </c>
      <c r="U4" s="3460"/>
      <c r="V4" s="3435" t="s">
        <v>1670</v>
      </c>
      <c r="W4" s="3435"/>
      <c r="X4" s="1263"/>
      <c r="Y4" s="3459" t="s">
        <v>1672</v>
      </c>
      <c r="Z4" s="3460"/>
      <c r="AA4" s="3446" t="s">
        <v>1668</v>
      </c>
      <c r="AB4" s="3446" t="s">
        <v>1669</v>
      </c>
      <c r="AC4" s="3446" t="s">
        <v>1670</v>
      </c>
    </row>
    <row r="5" spans="1:29" ht="15">
      <c r="A5" s="347"/>
      <c r="B5" s="348"/>
      <c r="C5" s="3472" t="s">
        <v>3457</v>
      </c>
      <c r="D5" s="3473"/>
      <c r="E5" s="3476" t="s">
        <v>3459</v>
      </c>
      <c r="F5" s="3477"/>
      <c r="G5" s="3467" t="s">
        <v>3511</v>
      </c>
      <c r="H5" s="3468"/>
      <c r="I5" s="3472" t="s">
        <v>3464</v>
      </c>
      <c r="J5" s="3473"/>
      <c r="K5" s="1743"/>
      <c r="L5" s="2481"/>
      <c r="M5" s="2482"/>
      <c r="N5" s="2482"/>
      <c r="O5" s="2482"/>
      <c r="P5" s="3455"/>
      <c r="Q5" s="3456"/>
      <c r="R5" s="3461"/>
      <c r="S5" s="3462"/>
      <c r="T5" s="3461"/>
      <c r="U5" s="3462"/>
      <c r="V5" s="3435"/>
      <c r="W5" s="3435"/>
      <c r="X5" s="1263"/>
      <c r="Y5" s="3461"/>
      <c r="Z5" s="3462"/>
      <c r="AA5" s="3447"/>
      <c r="AB5" s="3447"/>
      <c r="AC5" s="3447"/>
    </row>
    <row r="6" spans="1:29" ht="15.75" thickBot="1">
      <c r="A6" s="349"/>
      <c r="B6" s="350"/>
      <c r="C6" s="3465" t="s">
        <v>1677</v>
      </c>
      <c r="D6" s="3466"/>
      <c r="E6" s="3474" t="s">
        <v>1677</v>
      </c>
      <c r="F6" s="3475"/>
      <c r="G6" s="3465" t="s">
        <v>1677</v>
      </c>
      <c r="H6" s="3466"/>
      <c r="I6" s="3465" t="s">
        <v>1677</v>
      </c>
      <c r="J6" s="3466"/>
      <c r="K6" s="1743" t="s">
        <v>1678</v>
      </c>
      <c r="L6" s="2481"/>
      <c r="M6" s="2482"/>
      <c r="N6" s="2482"/>
      <c r="O6" s="2482"/>
      <c r="P6" s="3457"/>
      <c r="Q6" s="3458"/>
      <c r="R6" s="3461"/>
      <c r="S6" s="3462"/>
      <c r="T6" s="3463"/>
      <c r="U6" s="3464"/>
      <c r="V6" s="3435"/>
      <c r="W6" s="3435"/>
      <c r="X6" s="1263"/>
      <c r="Y6" s="3463"/>
      <c r="Z6" s="3464"/>
      <c r="AA6" s="3448"/>
      <c r="AB6" s="3448"/>
      <c r="AC6" s="3448"/>
    </row>
    <row r="7" spans="1:29" s="101" customFormat="1" ht="15.75" thickBot="1">
      <c r="A7" s="351" t="s">
        <v>1679</v>
      </c>
      <c r="B7" s="352"/>
      <c r="C7" s="353">
        <f>'数据-取费表'!B2</f>
        <v>45652</v>
      </c>
      <c r="D7" s="354">
        <v>100</v>
      </c>
      <c r="E7" s="355">
        <f>C7</f>
        <v>45652</v>
      </c>
      <c r="F7" s="356">
        <f>SUMIF(58:58,YEAR(E7)&amp;"-"&amp;MONTH(E7),59:59)</f>
        <v>100</v>
      </c>
      <c r="G7" s="355">
        <f>E7</f>
        <v>45652</v>
      </c>
      <c r="H7" s="354">
        <f>SUMIF(58:58,YEAR(G7)&amp;"-"&amp;MONTH(G7),59:59)</f>
        <v>100</v>
      </c>
      <c r="I7" s="355">
        <f>C7</f>
        <v>45652</v>
      </c>
      <c r="J7" s="354">
        <f>SUMIF(58:58,YEAR(I7)&amp;"-"&amp;MONTH(I7),59:59)</f>
        <v>100</v>
      </c>
      <c r="K7" s="3171"/>
      <c r="L7" s="2483"/>
      <c r="M7" s="2434"/>
      <c r="N7" s="2434"/>
      <c r="O7" s="2434"/>
      <c r="P7" s="3469" t="s">
        <v>1680</v>
      </c>
      <c r="Q7" s="3471"/>
      <c r="R7" s="663" t="s">
        <v>14</v>
      </c>
      <c r="S7" s="664">
        <f t="shared" ref="S7:S15" si="0">F7</f>
        <v>100</v>
      </c>
      <c r="T7" s="663" t="s">
        <v>14</v>
      </c>
      <c r="U7" s="664">
        <f t="shared" ref="U7:U15" si="1">H7</f>
        <v>100</v>
      </c>
      <c r="V7" s="663" t="s">
        <v>14</v>
      </c>
      <c r="W7" s="664">
        <f t="shared" ref="W7:W15" si="2">J7</f>
        <v>100</v>
      </c>
      <c r="X7" s="665"/>
      <c r="Y7" s="3469" t="s">
        <v>1680</v>
      </c>
      <c r="Z7" s="3470"/>
      <c r="AA7" s="50">
        <f>D7/F7</f>
        <v>1</v>
      </c>
      <c r="AB7" s="50">
        <f>D7/H7</f>
        <v>1</v>
      </c>
      <c r="AC7" s="50">
        <f>D7/J7</f>
        <v>1</v>
      </c>
    </row>
    <row r="8" spans="1:29" s="101" customFormat="1" ht="15.75" thickBot="1">
      <c r="A8" s="351" t="s">
        <v>1681</v>
      </c>
      <c r="B8" s="352"/>
      <c r="C8" s="357" t="s">
        <v>3407</v>
      </c>
      <c r="D8" s="354">
        <v>100</v>
      </c>
      <c r="E8" s="357" t="s">
        <v>3407</v>
      </c>
      <c r="F8" s="356">
        <f>SUMIF(61:61,E8,62:62)-SUMIF(61:61,C8,62:62)+100</f>
        <v>100</v>
      </c>
      <c r="G8" s="357" t="s">
        <v>3407</v>
      </c>
      <c r="H8" s="354">
        <f>SUMIF(61:61,G8,62:62)-SUMIF(61:61,C8,62:62)+100</f>
        <v>100</v>
      </c>
      <c r="I8" s="357" t="s">
        <v>3407</v>
      </c>
      <c r="J8" s="354">
        <f>SUMIF(61:61,I8,62:62)-SUMIF(61:61,C8,62:62)+100</f>
        <v>100</v>
      </c>
      <c r="K8" s="1744"/>
      <c r="L8" s="2483"/>
      <c r="M8" s="2434"/>
      <c r="N8" s="2434"/>
      <c r="O8" s="2434"/>
      <c r="P8" s="3469" t="s">
        <v>1683</v>
      </c>
      <c r="Q8" s="3470"/>
      <c r="R8" s="663" t="s">
        <v>14</v>
      </c>
      <c r="S8" s="664">
        <f t="shared" si="0"/>
        <v>100</v>
      </c>
      <c r="T8" s="663" t="s">
        <v>14</v>
      </c>
      <c r="U8" s="664">
        <f t="shared" si="1"/>
        <v>100</v>
      </c>
      <c r="V8" s="663" t="s">
        <v>14</v>
      </c>
      <c r="W8" s="664">
        <f t="shared" si="2"/>
        <v>100</v>
      </c>
      <c r="X8" s="665"/>
      <c r="Y8" s="3469" t="s">
        <v>1683</v>
      </c>
      <c r="Z8" s="3470"/>
      <c r="AA8" s="50">
        <f t="shared" ref="AA8:AA19" si="3">D8/F8</f>
        <v>1</v>
      </c>
      <c r="AB8" s="50">
        <f t="shared" ref="AB8:AB19" si="4">D8/H8</f>
        <v>1</v>
      </c>
      <c r="AC8" s="50">
        <f t="shared" ref="AC8:AC19" si="5">D8/J8</f>
        <v>1</v>
      </c>
    </row>
    <row r="9" spans="1:29" s="101" customFormat="1">
      <c r="A9" s="358" t="s">
        <v>1684</v>
      </c>
      <c r="B9" s="60" t="s">
        <v>1685</v>
      </c>
      <c r="C9" s="3152" t="s">
        <v>3408</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45" t="s">
        <v>1686</v>
      </c>
      <c r="Q9" s="529" t="str">
        <f t="shared" ref="Q9:Q15" si="6">B9</f>
        <v>用途</v>
      </c>
      <c r="R9" s="663" t="s">
        <v>14</v>
      </c>
      <c r="S9" s="664">
        <f t="shared" si="0"/>
        <v>100</v>
      </c>
      <c r="T9" s="663" t="s">
        <v>14</v>
      </c>
      <c r="U9" s="664">
        <f t="shared" si="1"/>
        <v>100</v>
      </c>
      <c r="V9" s="663" t="s">
        <v>14</v>
      </c>
      <c r="W9" s="664">
        <f t="shared" si="2"/>
        <v>100</v>
      </c>
      <c r="X9" s="665"/>
      <c r="Y9" s="3309" t="s">
        <v>1687</v>
      </c>
      <c r="Z9" s="50" t="str">
        <f t="shared" ref="Z9:Z15" si="7">Q9</f>
        <v>用途</v>
      </c>
      <c r="AA9" s="50">
        <f t="shared" si="3"/>
        <v>1</v>
      </c>
      <c r="AB9" s="50">
        <f t="shared" si="4"/>
        <v>1</v>
      </c>
      <c r="AC9" s="50">
        <f t="shared" si="5"/>
        <v>1</v>
      </c>
    </row>
    <row r="10" spans="1:29" s="365" customFormat="1" ht="15.75" thickBot="1">
      <c r="A10" s="362"/>
      <c r="B10" s="3170" t="s">
        <v>3435</v>
      </c>
      <c r="C10" s="3173" t="s">
        <v>3437</v>
      </c>
      <c r="D10" s="118">
        <v>100</v>
      </c>
      <c r="E10" s="3172" t="s">
        <v>3436</v>
      </c>
      <c r="F10" s="363">
        <f>SUMIF(65:65,E10,66:66)-SUMIF(65:65,C10,66:66)+100</f>
        <v>100</v>
      </c>
      <c r="G10" s="3172" t="s">
        <v>3436</v>
      </c>
      <c r="H10" s="118">
        <f>SUMIF(65:65,G10,66:66)-SUMIF(65:65,C10,66:66)+100</f>
        <v>100</v>
      </c>
      <c r="I10" s="3172" t="s">
        <v>3436</v>
      </c>
      <c r="J10" s="118">
        <f>SUMIF(65:65,I10,66:66)-SUMIF(65:65,C10,66:66)+100</f>
        <v>100</v>
      </c>
      <c r="K10" s="1744"/>
      <c r="L10" s="2484"/>
      <c r="M10" s="2485"/>
      <c r="N10" s="2485"/>
      <c r="O10" s="2485"/>
      <c r="P10" s="3445"/>
      <c r="Q10" s="529" t="str">
        <f t="shared" si="6"/>
        <v>房屋性质</v>
      </c>
      <c r="R10" s="663" t="s">
        <v>14</v>
      </c>
      <c r="S10" s="664">
        <f t="shared" si="0"/>
        <v>100</v>
      </c>
      <c r="T10" s="663" t="s">
        <v>14</v>
      </c>
      <c r="U10" s="664">
        <f t="shared" si="1"/>
        <v>100</v>
      </c>
      <c r="V10" s="663" t="s">
        <v>14</v>
      </c>
      <c r="W10" s="664">
        <f t="shared" si="2"/>
        <v>100</v>
      </c>
      <c r="X10" s="665"/>
      <c r="Y10" s="3309"/>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45"/>
      <c r="Q11" s="529" t="str">
        <f t="shared" si="6"/>
        <v>容积率</v>
      </c>
      <c r="R11" s="663" t="s">
        <v>14</v>
      </c>
      <c r="S11" s="664">
        <f t="shared" si="0"/>
        <v>100</v>
      </c>
      <c r="T11" s="663" t="s">
        <v>14</v>
      </c>
      <c r="U11" s="664">
        <f t="shared" si="1"/>
        <v>100</v>
      </c>
      <c r="V11" s="663" t="s">
        <v>14</v>
      </c>
      <c r="W11" s="664">
        <f t="shared" si="2"/>
        <v>100</v>
      </c>
      <c r="X11" s="665"/>
      <c r="Y11" s="3309"/>
      <c r="Z11" s="50" t="str">
        <f t="shared" si="7"/>
        <v>容积率</v>
      </c>
      <c r="AA11" s="50">
        <f t="shared" si="3"/>
        <v>1</v>
      </c>
      <c r="AB11" s="50">
        <f t="shared" si="4"/>
        <v>1</v>
      </c>
      <c r="AC11" s="50">
        <f t="shared" si="5"/>
        <v>1</v>
      </c>
    </row>
    <row r="12" spans="1:29" s="101" customFormat="1" ht="15.75" hidden="1" thickBot="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45"/>
      <c r="Q12" s="529">
        <f t="shared" si="6"/>
        <v>111</v>
      </c>
      <c r="R12" s="663" t="s">
        <v>14</v>
      </c>
      <c r="S12" s="664">
        <f t="shared" si="0"/>
        <v>100</v>
      </c>
      <c r="T12" s="663" t="s">
        <v>14</v>
      </c>
      <c r="U12" s="664">
        <f t="shared" si="1"/>
        <v>100</v>
      </c>
      <c r="V12" s="663" t="s">
        <v>14</v>
      </c>
      <c r="W12" s="664">
        <f t="shared" si="2"/>
        <v>100</v>
      </c>
      <c r="X12" s="665"/>
      <c r="Y12" s="3309"/>
      <c r="Z12" s="50">
        <f t="shared" si="7"/>
        <v>111</v>
      </c>
      <c r="AA12" s="50">
        <f>D12/F12</f>
        <v>1</v>
      </c>
      <c r="AB12" s="50">
        <f>D12/H12</f>
        <v>1</v>
      </c>
      <c r="AC12" s="50">
        <f>D12/J12</f>
        <v>1</v>
      </c>
    </row>
    <row r="13" spans="1:29" ht="15.75" hidden="1" thickBot="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45"/>
      <c r="Q13" s="529">
        <f t="shared" si="6"/>
        <v>111</v>
      </c>
      <c r="R13" s="663" t="s">
        <v>14</v>
      </c>
      <c r="S13" s="664">
        <f t="shared" si="0"/>
        <v>100</v>
      </c>
      <c r="T13" s="663" t="s">
        <v>14</v>
      </c>
      <c r="U13" s="664">
        <f t="shared" si="1"/>
        <v>100</v>
      </c>
      <c r="V13" s="663" t="s">
        <v>14</v>
      </c>
      <c r="W13" s="664">
        <f t="shared" si="2"/>
        <v>100</v>
      </c>
      <c r="X13" s="665"/>
      <c r="Y13" s="3309"/>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45"/>
      <c r="Q14" s="529">
        <f t="shared" si="6"/>
        <v>111</v>
      </c>
      <c r="R14" s="663" t="s">
        <v>14</v>
      </c>
      <c r="S14" s="664">
        <f t="shared" si="0"/>
        <v>100</v>
      </c>
      <c r="T14" s="663" t="s">
        <v>14</v>
      </c>
      <c r="U14" s="664">
        <f t="shared" si="1"/>
        <v>100</v>
      </c>
      <c r="V14" s="663" t="s">
        <v>14</v>
      </c>
      <c r="W14" s="664">
        <f t="shared" si="2"/>
        <v>100</v>
      </c>
      <c r="X14" s="665"/>
      <c r="Y14" s="3309"/>
      <c r="Z14" s="50">
        <f t="shared" si="7"/>
        <v>111</v>
      </c>
      <c r="AA14" s="50">
        <f t="shared" si="3"/>
        <v>1</v>
      </c>
      <c r="AB14" s="50">
        <f t="shared" si="4"/>
        <v>1</v>
      </c>
      <c r="AC14" s="50">
        <f t="shared" si="5"/>
        <v>1</v>
      </c>
    </row>
    <row r="15" spans="1:29" ht="41.25" customHeight="1">
      <c r="A15" s="378" t="s">
        <v>1690</v>
      </c>
      <c r="B15" s="3219" t="s">
        <v>3606</v>
      </c>
      <c r="C15" s="1747" t="str">
        <f>估价对象房地状况!C3</f>
        <v>周边有太阳城、远洋傲北、冠华苑、冠雅苑等住宅小区，居住社区成熟度较好。</v>
      </c>
      <c r="D15" s="379">
        <v>100</v>
      </c>
      <c r="E15" s="3155" t="s">
        <v>3478</v>
      </c>
      <c r="F15" s="379">
        <f>SUMIF(76:76,E16,77:77)-SUMIF(76:76,C16,77:77)+100</f>
        <v>100</v>
      </c>
      <c r="G15" s="3155" t="s">
        <v>3484</v>
      </c>
      <c r="H15" s="379">
        <f>SUMIF(76:76,G16,77:77)-SUMIF(76:76,C16,77:77)+100</f>
        <v>100</v>
      </c>
      <c r="I15" s="3155" t="s">
        <v>3484</v>
      </c>
      <c r="J15" s="379">
        <f>SUMIF(76:76,I16,77:77)-SUMIF(76:76,C16,77:77)+100</f>
        <v>100</v>
      </c>
      <c r="K15" s="383"/>
      <c r="L15" s="2487"/>
      <c r="M15" s="2482"/>
      <c r="N15" s="2482"/>
      <c r="O15" s="2482"/>
      <c r="P15" s="3443" t="s">
        <v>1691</v>
      </c>
      <c r="Q15" s="1261" t="str">
        <f t="shared" si="6"/>
        <v>居住社区成熟度</v>
      </c>
      <c r="R15" s="666" t="s">
        <v>14</v>
      </c>
      <c r="S15" s="667">
        <f t="shared" si="0"/>
        <v>100</v>
      </c>
      <c r="T15" s="666" t="s">
        <v>14</v>
      </c>
      <c r="U15" s="667">
        <f t="shared" si="1"/>
        <v>100</v>
      </c>
      <c r="V15" s="666" t="s">
        <v>14</v>
      </c>
      <c r="W15" s="667">
        <f t="shared" si="2"/>
        <v>100</v>
      </c>
      <c r="X15" s="1263"/>
      <c r="Y15" s="3436" t="s">
        <v>1691</v>
      </c>
      <c r="Z15" s="1262" t="str">
        <f t="shared" si="7"/>
        <v>居住社区成熟度</v>
      </c>
      <c r="AA15" s="1262">
        <f t="shared" si="3"/>
        <v>1</v>
      </c>
      <c r="AB15" s="1262">
        <f t="shared" si="4"/>
        <v>1</v>
      </c>
      <c r="AC15" s="1262">
        <f t="shared" si="5"/>
        <v>1</v>
      </c>
    </row>
    <row r="16" spans="1:29" ht="15">
      <c r="A16" s="366"/>
      <c r="B16" s="384"/>
      <c r="C16" s="385" t="s">
        <v>3395</v>
      </c>
      <c r="D16" s="386"/>
      <c r="E16" s="385" t="s">
        <v>3395</v>
      </c>
      <c r="F16" s="386"/>
      <c r="G16" s="385" t="s">
        <v>3395</v>
      </c>
      <c r="H16" s="388"/>
      <c r="I16" s="385" t="s">
        <v>3395</v>
      </c>
      <c r="J16" s="386"/>
      <c r="K16" s="1750"/>
      <c r="L16" s="2487"/>
      <c r="M16" s="2482"/>
      <c r="N16" s="2482"/>
      <c r="O16" s="2482"/>
      <c r="P16" s="3444"/>
      <c r="Q16" s="1261"/>
      <c r="R16" s="666"/>
      <c r="S16" s="667"/>
      <c r="T16" s="666"/>
      <c r="U16" s="667"/>
      <c r="V16" s="666"/>
      <c r="W16" s="667"/>
      <c r="X16" s="1263"/>
      <c r="Y16" s="3437"/>
      <c r="Z16" s="1262"/>
      <c r="AA16" s="1262">
        <v>1</v>
      </c>
      <c r="AB16" s="1262">
        <v>1</v>
      </c>
      <c r="AC16" s="1262">
        <v>1</v>
      </c>
    </row>
    <row r="17" spans="1:29" ht="79.5" customHeight="1">
      <c r="A17" s="366"/>
      <c r="B17" s="389" t="s">
        <v>1259</v>
      </c>
      <c r="C17" s="1751" t="str">
        <f>估价对象房地状况!C6</f>
        <v>周边有537路、643路、905路等多条公交线路，紧邻城市支路——爱博路，综合评价交通便捷度一般</v>
      </c>
      <c r="D17" s="388">
        <v>100</v>
      </c>
      <c r="E17" s="3166" t="str">
        <f>C17</f>
        <v>周边有537路、643路、905路等多条公交线路，紧邻城市支路——爱博路，综合评价交通便捷度一般</v>
      </c>
      <c r="F17" s="388">
        <f>SUMIF(78:78,E18,79:79)-SUMIF(78:78,C18,79:79)+100</f>
        <v>100</v>
      </c>
      <c r="G17" s="3167" t="s">
        <v>3605</v>
      </c>
      <c r="H17" s="393">
        <f>SUMIF(78:78,G18,79:79)-SUMIF(78:78,C18,79:79)+100</f>
        <v>101</v>
      </c>
      <c r="I17" s="3167" t="s">
        <v>3604</v>
      </c>
      <c r="J17" s="393">
        <f>SUMIF(78:78,I18,79:79)-SUMIF(78:78,C18,79:79)+100</f>
        <v>100</v>
      </c>
      <c r="K17" s="383">
        <v>1</v>
      </c>
      <c r="L17" s="2487"/>
      <c r="M17" s="2482"/>
      <c r="N17" s="2482"/>
      <c r="O17" s="2482"/>
      <c r="P17" s="3444"/>
      <c r="Q17" s="1261" t="str">
        <f>B17</f>
        <v>交通便捷度</v>
      </c>
      <c r="R17" s="666" t="s">
        <v>14</v>
      </c>
      <c r="S17" s="667">
        <f>F17</f>
        <v>100</v>
      </c>
      <c r="T17" s="666" t="s">
        <v>14</v>
      </c>
      <c r="U17" s="667">
        <f>H17</f>
        <v>101</v>
      </c>
      <c r="V17" s="666" t="s">
        <v>14</v>
      </c>
      <c r="W17" s="667">
        <f>J17</f>
        <v>100</v>
      </c>
      <c r="X17" s="1263"/>
      <c r="Y17" s="3437"/>
      <c r="Z17" s="1262" t="str">
        <f>Q17</f>
        <v>交通便捷度</v>
      </c>
      <c r="AA17" s="1262">
        <f t="shared" si="3"/>
        <v>1</v>
      </c>
      <c r="AB17" s="1262">
        <f t="shared" si="4"/>
        <v>0.99009900990099009</v>
      </c>
      <c r="AC17" s="1262">
        <f t="shared" si="5"/>
        <v>1</v>
      </c>
    </row>
    <row r="18" spans="1:29" ht="15">
      <c r="A18" s="366"/>
      <c r="B18" s="394"/>
      <c r="C18" s="3216" t="s">
        <v>3396</v>
      </c>
      <c r="D18" s="388"/>
      <c r="E18" s="3216" t="s">
        <v>3396</v>
      </c>
      <c r="F18" s="388"/>
      <c r="G18" s="3217" t="s">
        <v>3395</v>
      </c>
      <c r="H18" s="386"/>
      <c r="I18" s="3216" t="s">
        <v>3396</v>
      </c>
      <c r="J18" s="386"/>
      <c r="K18" s="1750"/>
      <c r="L18" s="2487"/>
      <c r="M18" s="2482"/>
      <c r="N18" s="2482"/>
      <c r="O18" s="2482"/>
      <c r="P18" s="3444"/>
      <c r="Q18" s="1261"/>
      <c r="R18" s="666"/>
      <c r="S18" s="667"/>
      <c r="T18" s="666"/>
      <c r="U18" s="667"/>
      <c r="V18" s="666"/>
      <c r="W18" s="667"/>
      <c r="X18" s="1263"/>
      <c r="Y18" s="3437"/>
      <c r="Z18" s="1262"/>
      <c r="AA18" s="1262">
        <v>1</v>
      </c>
      <c r="AB18" s="1262">
        <v>1</v>
      </c>
      <c r="AC18" s="1262">
        <v>1</v>
      </c>
    </row>
    <row r="19" spans="1:29" ht="299.25" customHeight="1">
      <c r="A19" s="366"/>
      <c r="B19" s="389" t="s">
        <v>1258</v>
      </c>
      <c r="C19" s="1751"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168" t="s">
        <v>3460</v>
      </c>
      <c r="F19" s="393">
        <f>SUMIF(80:80,E20,81:81)-SUMIF(80:80,C20,81:81)+100</f>
        <v>100</v>
      </c>
      <c r="G19" s="3168" t="s">
        <v>3512</v>
      </c>
      <c r="H19" s="3561">
        <f>SUMIF(80:80,G20,81:81)-SUMIF(80:80,C20,81:81)+100</f>
        <v>102</v>
      </c>
      <c r="I19" s="3168" t="s">
        <v>3485</v>
      </c>
      <c r="J19" s="3561">
        <f>SUMIF(80:80,I20,81:81)-SUMIF(80:80,C20,81:81)+100</f>
        <v>102</v>
      </c>
      <c r="K19" s="383">
        <v>2</v>
      </c>
      <c r="L19" s="2487"/>
      <c r="M19" s="2482"/>
      <c r="N19" s="2482"/>
      <c r="O19" s="2482"/>
      <c r="P19" s="3444"/>
      <c r="Q19" s="1261" t="str">
        <f>B19</f>
        <v>公共配套设施</v>
      </c>
      <c r="R19" s="666" t="s">
        <v>14</v>
      </c>
      <c r="S19" s="667">
        <f>F19</f>
        <v>100</v>
      </c>
      <c r="T19" s="666" t="s">
        <v>14</v>
      </c>
      <c r="U19" s="667">
        <f>H19</f>
        <v>102</v>
      </c>
      <c r="V19" s="666" t="s">
        <v>14</v>
      </c>
      <c r="W19" s="667">
        <f>J19</f>
        <v>102</v>
      </c>
      <c r="X19" s="1263"/>
      <c r="Y19" s="3437"/>
      <c r="Z19" s="1262" t="str">
        <f>Q19</f>
        <v>公共配套设施</v>
      </c>
      <c r="AA19" s="1262">
        <f t="shared" si="3"/>
        <v>1</v>
      </c>
      <c r="AB19" s="1262">
        <f t="shared" si="4"/>
        <v>0.98039215686274506</v>
      </c>
      <c r="AC19" s="1262">
        <f t="shared" si="5"/>
        <v>0.98039215686274506</v>
      </c>
    </row>
    <row r="20" spans="1:29" ht="15">
      <c r="A20" s="366"/>
      <c r="B20" s="394"/>
      <c r="C20" s="385" t="s">
        <v>3396</v>
      </c>
      <c r="D20" s="386"/>
      <c r="E20" s="385" t="s">
        <v>3396</v>
      </c>
      <c r="F20" s="386"/>
      <c r="G20" s="385" t="s">
        <v>3395</v>
      </c>
      <c r="H20" s="386"/>
      <c r="I20" s="385" t="s">
        <v>3395</v>
      </c>
      <c r="J20" s="386"/>
      <c r="K20" s="1750"/>
      <c r="L20" s="2487"/>
      <c r="M20" s="2482"/>
      <c r="N20" s="2482"/>
      <c r="O20" s="2482"/>
      <c r="P20" s="3444"/>
      <c r="Q20" s="1261"/>
      <c r="R20" s="666"/>
      <c r="S20" s="667"/>
      <c r="T20" s="666"/>
      <c r="U20" s="667"/>
      <c r="V20" s="666"/>
      <c r="W20" s="667"/>
      <c r="X20" s="1263"/>
      <c r="Y20" s="3437"/>
      <c r="Z20" s="1262"/>
      <c r="AA20" s="1262">
        <v>1</v>
      </c>
      <c r="AB20" s="1262">
        <v>1</v>
      </c>
      <c r="AC20" s="1262">
        <v>1</v>
      </c>
    </row>
    <row r="21" spans="1:29" ht="28.5">
      <c r="A21" s="366"/>
      <c r="B21" s="585" t="s">
        <v>1260</v>
      </c>
      <c r="C21" s="1751" t="str">
        <f>估价对象房地状况!C8</f>
        <v>估价对象所在区域基础设施水平</v>
      </c>
      <c r="D21" s="388">
        <v>100</v>
      </c>
      <c r="E21" s="3156"/>
      <c r="F21" s="393">
        <f>SUMIF(82:82,E22,83:83)-SUMIF(82:82,C22,83:83)+100</f>
        <v>100</v>
      </c>
      <c r="G21" s="395"/>
      <c r="H21" s="388">
        <f>SUMIF(82:82,G22,83:83)-SUMIF(82:82,C22,83:83)+100</f>
        <v>100</v>
      </c>
      <c r="I21" s="395"/>
      <c r="J21" s="388">
        <f>SUMIF(82:82,I22,83:83)-SUMIF(82:82,C22,83:83)+100</f>
        <v>100</v>
      </c>
      <c r="K21" s="383"/>
      <c r="L21" s="2487"/>
      <c r="M21" s="2482"/>
      <c r="N21" s="2482"/>
      <c r="O21" s="2482"/>
      <c r="P21" s="3444"/>
      <c r="Q21" s="1261" t="str">
        <f>B21</f>
        <v>基础设施水平</v>
      </c>
      <c r="R21" s="666" t="s">
        <v>14</v>
      </c>
      <c r="S21" s="667">
        <f>F21</f>
        <v>100</v>
      </c>
      <c r="T21" s="666" t="s">
        <v>14</v>
      </c>
      <c r="U21" s="667">
        <f>H21</f>
        <v>100</v>
      </c>
      <c r="V21" s="666" t="s">
        <v>14</v>
      </c>
      <c r="W21" s="667">
        <f>J21</f>
        <v>100</v>
      </c>
      <c r="X21" s="1263"/>
      <c r="Y21" s="3437"/>
      <c r="Z21" s="1262" t="str">
        <f>Q21</f>
        <v>基础设施水平</v>
      </c>
      <c r="AA21" s="1262">
        <f>D21/F21</f>
        <v>1</v>
      </c>
      <c r="AB21" s="1262">
        <f>D21/H21</f>
        <v>1</v>
      </c>
      <c r="AC21" s="1262">
        <f>D21/J21</f>
        <v>1</v>
      </c>
    </row>
    <row r="22" spans="1:29" ht="15">
      <c r="A22" s="366"/>
      <c r="B22" s="585"/>
      <c r="C22" s="1752" t="s">
        <v>3400</v>
      </c>
      <c r="D22" s="386"/>
      <c r="E22" s="3162" t="s">
        <v>3400</v>
      </c>
      <c r="F22" s="386"/>
      <c r="G22" s="1752" t="s">
        <v>3400</v>
      </c>
      <c r="H22" s="386"/>
      <c r="I22" s="1752" t="s">
        <v>3400</v>
      </c>
      <c r="J22" s="386"/>
      <c r="K22" s="1756"/>
      <c r="L22" s="2487"/>
      <c r="M22" s="2482"/>
      <c r="N22" s="2482"/>
      <c r="O22" s="2482"/>
      <c r="P22" s="3444"/>
      <c r="Q22" s="1261"/>
      <c r="R22" s="666"/>
      <c r="S22" s="667"/>
      <c r="T22" s="666"/>
      <c r="U22" s="667"/>
      <c r="V22" s="666"/>
      <c r="W22" s="667"/>
      <c r="X22" s="1263"/>
      <c r="Y22" s="3437"/>
      <c r="Z22" s="1262"/>
      <c r="AA22" s="1262">
        <v>1</v>
      </c>
      <c r="AB22" s="1262">
        <v>1</v>
      </c>
      <c r="AC22" s="1262">
        <v>1</v>
      </c>
    </row>
    <row r="23" spans="1:29" ht="128.25" customHeight="1">
      <c r="A23" s="366"/>
      <c r="B23" s="389" t="s">
        <v>1261</v>
      </c>
      <c r="C23" s="1751" t="str">
        <f>估价对象房地状况!C9</f>
        <v>自然环境：温榆河水系等自然及人文景观；
综合评价环境状况较好。</v>
      </c>
      <c r="D23" s="388">
        <v>100</v>
      </c>
      <c r="E23" s="3167" t="s">
        <v>3481</v>
      </c>
      <c r="F23" s="388">
        <f>SUMIF(84:84,E24,85:85)-SUMIF(84:84,C24,85:85)+100</f>
        <v>100</v>
      </c>
      <c r="G23" s="3167" t="s">
        <v>3486</v>
      </c>
      <c r="H23" s="388">
        <f>SUMIF(84:84,G24,85:85)-SUMIF(84:84,C24,85:85)+100</f>
        <v>100</v>
      </c>
      <c r="I23" s="3167" t="s">
        <v>3486</v>
      </c>
      <c r="J23" s="388">
        <f>SUMIF(84:84,I24,85:85)-SUMIF(84:84,C24,85:85)+100</f>
        <v>100</v>
      </c>
      <c r="K23" s="383"/>
      <c r="L23" s="2487"/>
      <c r="M23" s="2482"/>
      <c r="N23" s="2482"/>
      <c r="O23" s="2482"/>
      <c r="P23" s="3444"/>
      <c r="Q23" s="1261" t="str">
        <f>B23</f>
        <v>自然及人文环境</v>
      </c>
      <c r="R23" s="666" t="s">
        <v>14</v>
      </c>
      <c r="S23" s="667">
        <f>F23</f>
        <v>100</v>
      </c>
      <c r="T23" s="666" t="s">
        <v>14</v>
      </c>
      <c r="U23" s="667">
        <f>H23</f>
        <v>100</v>
      </c>
      <c r="V23" s="666" t="s">
        <v>14</v>
      </c>
      <c r="W23" s="667">
        <f>J23</f>
        <v>100</v>
      </c>
      <c r="X23" s="1263"/>
      <c r="Y23" s="3437"/>
      <c r="Z23" s="1262" t="str">
        <f>Q23</f>
        <v>自然及人文环境</v>
      </c>
      <c r="AA23" s="1262">
        <f>D23/F23</f>
        <v>1</v>
      </c>
      <c r="AB23" s="1262">
        <f>D23/H23</f>
        <v>1</v>
      </c>
      <c r="AC23" s="1262">
        <f>D23/J23</f>
        <v>1</v>
      </c>
    </row>
    <row r="24" spans="1:29" ht="15">
      <c r="A24" s="366"/>
      <c r="B24" s="394"/>
      <c r="C24" s="385" t="s">
        <v>3395</v>
      </c>
      <c r="D24" s="386"/>
      <c r="E24" s="385" t="s">
        <v>3395</v>
      </c>
      <c r="F24" s="386"/>
      <c r="G24" s="385" t="s">
        <v>3395</v>
      </c>
      <c r="H24" s="386"/>
      <c r="I24" s="385" t="s">
        <v>3395</v>
      </c>
      <c r="J24" s="386"/>
      <c r="K24" s="1750"/>
      <c r="L24" s="2487"/>
      <c r="M24" s="2482"/>
      <c r="N24" s="2482"/>
      <c r="O24" s="2482"/>
      <c r="P24" s="3444"/>
      <c r="Q24" s="1261"/>
      <c r="R24" s="666"/>
      <c r="S24" s="667"/>
      <c r="T24" s="666"/>
      <c r="U24" s="667"/>
      <c r="V24" s="666"/>
      <c r="W24" s="667"/>
      <c r="X24" s="1263"/>
      <c r="Y24" s="3437"/>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44"/>
      <c r="Q25" s="1261" t="str">
        <f t="shared" ref="Q25:Q46" si="8">B25</f>
        <v>楼层-1</v>
      </c>
      <c r="R25" s="666" t="s">
        <v>14</v>
      </c>
      <c r="S25" s="667">
        <f t="shared" ref="S25:S46" si="9">F25</f>
        <v>100</v>
      </c>
      <c r="T25" s="666" t="s">
        <v>14</v>
      </c>
      <c r="U25" s="667">
        <f t="shared" ref="U25:U46" si="10">H25</f>
        <v>100</v>
      </c>
      <c r="V25" s="666" t="s">
        <v>14</v>
      </c>
      <c r="W25" s="667">
        <f t="shared" ref="W25:W46" si="11">J25</f>
        <v>100</v>
      </c>
      <c r="X25" s="1263"/>
      <c r="Y25" s="3437"/>
      <c r="Z25" s="1262" t="str">
        <f>Q25</f>
        <v>楼层-1</v>
      </c>
      <c r="AA25" s="1262">
        <f t="shared" ref="AA25:AA46" si="12">D25/F25</f>
        <v>1</v>
      </c>
      <c r="AB25" s="1262">
        <f t="shared" ref="AB25:AB46" si="13">D25/H25</f>
        <v>1</v>
      </c>
      <c r="AC25" s="1262">
        <f t="shared" ref="AC25:AC46" si="14">D25/J25</f>
        <v>1</v>
      </c>
    </row>
    <row r="26" spans="1:29" ht="15">
      <c r="A26" s="366"/>
      <c r="B26" s="363" t="s">
        <v>1693</v>
      </c>
      <c r="C26" s="398" t="s">
        <v>3448</v>
      </c>
      <c r="D26" s="373">
        <v>100</v>
      </c>
      <c r="E26" s="1757" t="s">
        <v>3448</v>
      </c>
      <c r="F26" s="373">
        <f>SUMIF(88:88,E26,89:89)-SUMIF(88:88,C26,89:89)+100</f>
        <v>100</v>
      </c>
      <c r="G26" s="1757" t="s">
        <v>3448</v>
      </c>
      <c r="H26" s="373">
        <f>SUMIF(88:88,G26,89:89)-SUMIF(88:88,C26,89:89)+100</f>
        <v>100</v>
      </c>
      <c r="I26" s="1758" t="s">
        <v>3448</v>
      </c>
      <c r="J26" s="373">
        <f>SUMIF(88:88,I26,89:89)-SUMIF(88:88,C26,89:89)+100</f>
        <v>100</v>
      </c>
      <c r="K26" s="364">
        <v>1</v>
      </c>
      <c r="L26" s="2487"/>
      <c r="M26" s="2482"/>
      <c r="N26" s="2482"/>
      <c r="O26" s="2482"/>
      <c r="P26" s="3444"/>
      <c r="Q26" s="1261" t="str">
        <f t="shared" si="8"/>
        <v>朝向</v>
      </c>
      <c r="R26" s="666" t="s">
        <v>14</v>
      </c>
      <c r="S26" s="667">
        <f t="shared" si="9"/>
        <v>100</v>
      </c>
      <c r="T26" s="666" t="s">
        <v>14</v>
      </c>
      <c r="U26" s="667">
        <f t="shared" si="10"/>
        <v>100</v>
      </c>
      <c r="V26" s="666" t="s">
        <v>14</v>
      </c>
      <c r="W26" s="667">
        <f t="shared" si="11"/>
        <v>100</v>
      </c>
      <c r="X26" s="1263"/>
      <c r="Y26" s="3437"/>
      <c r="Z26" s="1262" t="str">
        <f>Q26</f>
        <v>朝向</v>
      </c>
      <c r="AA26" s="1262">
        <f t="shared" si="12"/>
        <v>1</v>
      </c>
      <c r="AB26" s="1262">
        <f t="shared" si="13"/>
        <v>1</v>
      </c>
      <c r="AC26" s="1262">
        <f t="shared" si="14"/>
        <v>1</v>
      </c>
    </row>
    <row r="27" spans="1:29" s="101" customFormat="1" ht="15">
      <c r="A27" s="369"/>
      <c r="B27" s="3140" t="s">
        <v>3381</v>
      </c>
      <c r="C27" s="370" t="s">
        <v>3461</v>
      </c>
      <c r="D27" s="400">
        <v>100</v>
      </c>
      <c r="E27" s="3169" t="s">
        <v>3446</v>
      </c>
      <c r="F27" s="400">
        <f>E91</f>
        <v>100</v>
      </c>
      <c r="G27" s="3169" t="s">
        <v>3446</v>
      </c>
      <c r="H27" s="400">
        <f>F27</f>
        <v>100</v>
      </c>
      <c r="I27" s="3169" t="s">
        <v>3446</v>
      </c>
      <c r="J27" s="400">
        <f>E91</f>
        <v>100</v>
      </c>
      <c r="K27" s="1745"/>
      <c r="L27" s="2483"/>
      <c r="M27" s="2434"/>
      <c r="N27" s="2434"/>
      <c r="O27" s="2434"/>
      <c r="P27" s="3444"/>
      <c r="Q27" s="529" t="str">
        <f t="shared" si="8"/>
        <v>楼层</v>
      </c>
      <c r="R27" s="663" t="s">
        <v>14</v>
      </c>
      <c r="S27" s="664">
        <f t="shared" si="9"/>
        <v>100</v>
      </c>
      <c r="T27" s="663" t="s">
        <v>14</v>
      </c>
      <c r="U27" s="664">
        <f t="shared" si="10"/>
        <v>100</v>
      </c>
      <c r="V27" s="663" t="s">
        <v>14</v>
      </c>
      <c r="W27" s="664">
        <f t="shared" si="11"/>
        <v>100</v>
      </c>
      <c r="X27" s="665"/>
      <c r="Y27" s="3437"/>
      <c r="Z27" s="50" t="str">
        <f>Q27</f>
        <v>楼层</v>
      </c>
      <c r="AA27" s="1262">
        <f t="shared" si="12"/>
        <v>1</v>
      </c>
      <c r="AB27" s="1262">
        <f t="shared" si="13"/>
        <v>1</v>
      </c>
      <c r="AC27" s="1262">
        <f t="shared" si="14"/>
        <v>1</v>
      </c>
    </row>
    <row r="28" spans="1:29" ht="15" hidden="1">
      <c r="A28" s="366"/>
      <c r="B28" s="3140" t="s">
        <v>3420</v>
      </c>
      <c r="C28" s="3142" t="s">
        <v>3423</v>
      </c>
      <c r="D28" s="373">
        <v>100</v>
      </c>
      <c r="E28" s="3142" t="s">
        <v>3423</v>
      </c>
      <c r="F28" s="373">
        <f>SUMIF(92:92,E28,93:93)-SUMIF(92:92,C28,93:93)+100</f>
        <v>100</v>
      </c>
      <c r="G28" s="3142" t="s">
        <v>3423</v>
      </c>
      <c r="H28" s="373">
        <f>SUMIF(92:92,G28,93:93)-SUMIF(92:92,C28,93:93)+100</f>
        <v>100</v>
      </c>
      <c r="I28" s="3142" t="s">
        <v>3423</v>
      </c>
      <c r="J28" s="373">
        <f>SUMIF(92:92,I28,93:93)-SUMIF(92:92,C28,93:93)+100</f>
        <v>100</v>
      </c>
      <c r="K28" s="1745"/>
      <c r="L28" s="2487"/>
      <c r="M28" s="2482"/>
      <c r="N28" s="2482"/>
      <c r="O28" s="2482"/>
      <c r="P28" s="3444"/>
      <c r="Q28" s="1261" t="str">
        <f t="shared" si="8"/>
        <v>道路级别</v>
      </c>
      <c r="R28" s="666" t="s">
        <v>14</v>
      </c>
      <c r="S28" s="667">
        <f t="shared" si="9"/>
        <v>100</v>
      </c>
      <c r="T28" s="666" t="s">
        <v>14</v>
      </c>
      <c r="U28" s="667">
        <f t="shared" si="10"/>
        <v>100</v>
      </c>
      <c r="V28" s="666" t="s">
        <v>14</v>
      </c>
      <c r="W28" s="667">
        <f t="shared" si="11"/>
        <v>100</v>
      </c>
      <c r="X28" s="1263"/>
      <c r="Y28" s="3437"/>
      <c r="Z28" s="1262" t="str">
        <f t="shared" ref="Z28:Z46" si="15">Q28</f>
        <v>道路级别</v>
      </c>
      <c r="AA28" s="1262">
        <f t="shared" si="12"/>
        <v>1</v>
      </c>
      <c r="AB28" s="1262">
        <f t="shared" si="13"/>
        <v>1</v>
      </c>
      <c r="AC28" s="1262">
        <f t="shared" si="14"/>
        <v>1</v>
      </c>
    </row>
    <row r="29" spans="1:29" ht="15">
      <c r="A29" s="366"/>
      <c r="B29" s="1065">
        <v>111</v>
      </c>
      <c r="C29" s="3169"/>
      <c r="D29" s="373">
        <v>100</v>
      </c>
      <c r="E29" s="3169"/>
      <c r="F29" s="373">
        <f>SUMIF(94:94,E29,95:95)-SUMIF(94:94,C29,95:95)+100</f>
        <v>100</v>
      </c>
      <c r="G29" s="3169"/>
      <c r="H29" s="373">
        <f>SUMIF(94:94,G29,95:95)-SUMIF(94:94,C29,95:95)+100</f>
        <v>100</v>
      </c>
      <c r="I29" s="3169"/>
      <c r="J29" s="373">
        <f>SUMIF(94:94,I29,95:95)-SUMIF(94:94,C29,95:95)+100</f>
        <v>100</v>
      </c>
      <c r="K29" s="1745"/>
      <c r="L29" s="2487"/>
      <c r="M29" s="2482"/>
      <c r="N29" s="2482"/>
      <c r="O29" s="2482"/>
      <c r="P29" s="3444"/>
      <c r="Q29" s="1261">
        <f t="shared" si="8"/>
        <v>111</v>
      </c>
      <c r="R29" s="666" t="s">
        <v>14</v>
      </c>
      <c r="S29" s="667">
        <f t="shared" si="9"/>
        <v>100</v>
      </c>
      <c r="T29" s="666" t="s">
        <v>14</v>
      </c>
      <c r="U29" s="667">
        <f t="shared" si="10"/>
        <v>100</v>
      </c>
      <c r="V29" s="666" t="s">
        <v>14</v>
      </c>
      <c r="W29" s="667">
        <f t="shared" si="11"/>
        <v>100</v>
      </c>
      <c r="X29" s="1263"/>
      <c r="Y29" s="3437"/>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44"/>
      <c r="Q30" s="1261">
        <f t="shared" si="8"/>
        <v>111</v>
      </c>
      <c r="R30" s="666" t="s">
        <v>14</v>
      </c>
      <c r="S30" s="667">
        <f t="shared" si="9"/>
        <v>100</v>
      </c>
      <c r="T30" s="666" t="s">
        <v>14</v>
      </c>
      <c r="U30" s="667">
        <f t="shared" si="10"/>
        <v>100</v>
      </c>
      <c r="V30" s="666" t="s">
        <v>14</v>
      </c>
      <c r="W30" s="667">
        <f t="shared" si="11"/>
        <v>100</v>
      </c>
      <c r="X30" s="1263"/>
      <c r="Y30" s="3437"/>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44"/>
      <c r="Q31" s="1261">
        <f t="shared" si="8"/>
        <v>111</v>
      </c>
      <c r="R31" s="666" t="s">
        <v>14</v>
      </c>
      <c r="S31" s="667">
        <f t="shared" si="9"/>
        <v>100</v>
      </c>
      <c r="T31" s="666" t="s">
        <v>14</v>
      </c>
      <c r="U31" s="667">
        <f t="shared" si="10"/>
        <v>100</v>
      </c>
      <c r="V31" s="666" t="s">
        <v>14</v>
      </c>
      <c r="W31" s="667">
        <f t="shared" si="11"/>
        <v>100</v>
      </c>
      <c r="X31" s="1263"/>
      <c r="Y31" s="3437"/>
      <c r="Z31" s="1262">
        <f t="shared" si="15"/>
        <v>111</v>
      </c>
      <c r="AA31" s="1262">
        <f t="shared" si="12"/>
        <v>1</v>
      </c>
      <c r="AB31" s="1262">
        <f t="shared" si="13"/>
        <v>1</v>
      </c>
      <c r="AC31" s="1262">
        <f t="shared" si="14"/>
        <v>1</v>
      </c>
    </row>
    <row r="32" spans="1:29" ht="15.75" thickBot="1">
      <c r="A32" s="378" t="s">
        <v>1694</v>
      </c>
      <c r="B32" s="363" t="s">
        <v>1695</v>
      </c>
      <c r="C32" s="3187" t="s">
        <v>3466</v>
      </c>
      <c r="D32" s="404">
        <v>100</v>
      </c>
      <c r="E32" s="3187" t="s">
        <v>3466</v>
      </c>
      <c r="F32" s="399">
        <f>SUMIF(100:100,E32,101:101)-SUMIF(100:100,C32,101:101)+100</f>
        <v>100</v>
      </c>
      <c r="G32" s="3187" t="s">
        <v>3466</v>
      </c>
      <c r="H32" s="404">
        <f>SUMIF(100:100,G32,101:101)-SUMIF(100:100,C32,101:101)+100</f>
        <v>100</v>
      </c>
      <c r="I32" s="3187" t="s">
        <v>3466</v>
      </c>
      <c r="J32" s="373">
        <f>SUMIF(100:100,I32,101:101)-SUMIF(100:100,C32,101:101)+100</f>
        <v>100</v>
      </c>
      <c r="K32" s="364">
        <v>1</v>
      </c>
      <c r="L32" s="2487"/>
      <c r="M32" s="2482"/>
      <c r="N32" s="2482"/>
      <c r="O32" s="2482"/>
      <c r="P32" s="3438" t="s">
        <v>1696</v>
      </c>
      <c r="Q32" s="1261" t="str">
        <f t="shared" si="8"/>
        <v>建筑类型</v>
      </c>
      <c r="R32" s="666" t="s">
        <v>14</v>
      </c>
      <c r="S32" s="667">
        <f t="shared" si="9"/>
        <v>100</v>
      </c>
      <c r="T32" s="666" t="s">
        <v>14</v>
      </c>
      <c r="U32" s="667">
        <f t="shared" si="10"/>
        <v>100</v>
      </c>
      <c r="V32" s="666" t="s">
        <v>14</v>
      </c>
      <c r="W32" s="667">
        <f t="shared" si="11"/>
        <v>100</v>
      </c>
      <c r="X32" s="1263"/>
      <c r="Y32" s="3441" t="s">
        <v>1696</v>
      </c>
      <c r="Z32" s="1262" t="str">
        <f t="shared" si="15"/>
        <v>建筑类型</v>
      </c>
      <c r="AA32" s="1262">
        <f t="shared" si="12"/>
        <v>1</v>
      </c>
      <c r="AB32" s="1262">
        <f t="shared" si="13"/>
        <v>1</v>
      </c>
      <c r="AC32" s="1262">
        <f t="shared" si="14"/>
        <v>1</v>
      </c>
    </row>
    <row r="33" spans="1:29" s="407" customFormat="1" ht="15">
      <c r="A33" s="405"/>
      <c r="B33" s="3170" t="s">
        <v>3467</v>
      </c>
      <c r="C33" s="3188" t="s">
        <v>3468</v>
      </c>
      <c r="D33" s="118">
        <v>100</v>
      </c>
      <c r="E33" s="3187" t="s">
        <v>3491</v>
      </c>
      <c r="F33" s="399">
        <f>F104</f>
        <v>98</v>
      </c>
      <c r="G33" s="3187" t="s">
        <v>3513</v>
      </c>
      <c r="H33" s="404">
        <f>D104</f>
        <v>102</v>
      </c>
      <c r="I33" s="3191" t="s">
        <v>3475</v>
      </c>
      <c r="J33" s="3192">
        <f>G104</f>
        <v>96</v>
      </c>
      <c r="K33" s="1745"/>
      <c r="L33" s="2486"/>
      <c r="M33" s="2488"/>
      <c r="N33" s="2488"/>
      <c r="O33" s="2488"/>
      <c r="P33" s="3439"/>
      <c r="Q33" s="530" t="str">
        <f t="shared" si="8"/>
        <v>主力户型建筑面积</v>
      </c>
      <c r="R33" s="668" t="s">
        <v>14</v>
      </c>
      <c r="S33" s="669">
        <f t="shared" si="9"/>
        <v>98</v>
      </c>
      <c r="T33" s="668" t="s">
        <v>14</v>
      </c>
      <c r="U33" s="669">
        <f t="shared" si="10"/>
        <v>102</v>
      </c>
      <c r="V33" s="668" t="s">
        <v>14</v>
      </c>
      <c r="W33" s="669">
        <f t="shared" si="11"/>
        <v>96</v>
      </c>
      <c r="X33" s="670"/>
      <c r="Y33" s="3441"/>
      <c r="Z33" s="671" t="str">
        <f t="shared" si="15"/>
        <v>主力户型建筑面积</v>
      </c>
      <c r="AA33" s="1262">
        <f t="shared" si="12"/>
        <v>1.0204081632653061</v>
      </c>
      <c r="AB33" s="1262">
        <f t="shared" si="13"/>
        <v>0.98039215686274506</v>
      </c>
      <c r="AC33" s="1262">
        <f t="shared" si="14"/>
        <v>1.0416666666666667</v>
      </c>
    </row>
    <row r="34" spans="1:29" ht="15">
      <c r="A34" s="408"/>
      <c r="B34" s="363" t="s">
        <v>1698</v>
      </c>
      <c r="C34" s="3189" t="s">
        <v>3385</v>
      </c>
      <c r="D34" s="373">
        <v>100</v>
      </c>
      <c r="E34" s="3189" t="s">
        <v>3385</v>
      </c>
      <c r="F34" s="399">
        <f>SUMIF(105:105,E34,106:106)-SUMIF(105:105,C34,106:106)+100</f>
        <v>100</v>
      </c>
      <c r="G34" s="3189" t="s">
        <v>3385</v>
      </c>
      <c r="H34" s="373">
        <f>SUMIF(105:105,G34,106:106)-SUMIF(105:105,C34,106:106)+100</f>
        <v>100</v>
      </c>
      <c r="I34" s="3189" t="s">
        <v>3385</v>
      </c>
      <c r="J34" s="373">
        <f>SUMIF(105:105,I34,106:106)-SUMIF(105:105,C34,106:106)+100</f>
        <v>100</v>
      </c>
      <c r="K34" s="364">
        <v>0.5</v>
      </c>
      <c r="L34" s="2487"/>
      <c r="M34" s="2482"/>
      <c r="N34" s="2482"/>
      <c r="O34" s="2482"/>
      <c r="P34" s="3439"/>
      <c r="Q34" s="1261" t="str">
        <f t="shared" si="8"/>
        <v>建筑结构</v>
      </c>
      <c r="R34" s="666" t="s">
        <v>14</v>
      </c>
      <c r="S34" s="667">
        <f t="shared" si="9"/>
        <v>100</v>
      </c>
      <c r="T34" s="666" t="s">
        <v>14</v>
      </c>
      <c r="U34" s="667">
        <f t="shared" si="10"/>
        <v>100</v>
      </c>
      <c r="V34" s="666" t="s">
        <v>14</v>
      </c>
      <c r="W34" s="667">
        <f t="shared" si="11"/>
        <v>100</v>
      </c>
      <c r="X34" s="1263"/>
      <c r="Y34" s="3441"/>
      <c r="Z34" s="1262" t="str">
        <f t="shared" si="15"/>
        <v>建筑结构</v>
      </c>
      <c r="AA34" s="1262">
        <f t="shared" si="12"/>
        <v>1</v>
      </c>
      <c r="AB34" s="1262">
        <f t="shared" si="13"/>
        <v>1</v>
      </c>
      <c r="AC34" s="1262">
        <f t="shared" si="14"/>
        <v>1</v>
      </c>
    </row>
    <row r="35" spans="1:29" ht="15" hidden="1">
      <c r="A35" s="408"/>
      <c r="B35" s="363" t="s">
        <v>3431</v>
      </c>
      <c r="C35" s="3179" t="s">
        <v>3395</v>
      </c>
      <c r="D35" s="373">
        <v>100</v>
      </c>
      <c r="E35" s="3179" t="s">
        <v>3395</v>
      </c>
      <c r="F35" s="399">
        <f>SUMIF(107:107,E35,108:108)-SUMIF(107:107,C35,108:108)+100</f>
        <v>100</v>
      </c>
      <c r="G35" s="3179" t="s">
        <v>3395</v>
      </c>
      <c r="H35" s="373">
        <f>SUMIF(107:107,G35,108:108)-SUMIF(107:107,C35,108:108)+100</f>
        <v>100</v>
      </c>
      <c r="I35" s="3179" t="s">
        <v>3395</v>
      </c>
      <c r="J35" s="373">
        <f>SUMIF(107:107,I35,108:108)-SUMIF(107:107,C35,108:108)+100</f>
        <v>100</v>
      </c>
      <c r="K35" s="364">
        <v>3</v>
      </c>
      <c r="L35" s="2487"/>
      <c r="M35" s="2482"/>
      <c r="N35" s="2482"/>
      <c r="O35" s="2482"/>
      <c r="P35" s="3439"/>
      <c r="Q35" s="1261" t="str">
        <f t="shared" si="8"/>
        <v>噪音污染</v>
      </c>
      <c r="R35" s="666" t="s">
        <v>14</v>
      </c>
      <c r="S35" s="667">
        <f t="shared" si="9"/>
        <v>100</v>
      </c>
      <c r="T35" s="666" t="s">
        <v>14</v>
      </c>
      <c r="U35" s="667">
        <f t="shared" si="10"/>
        <v>100</v>
      </c>
      <c r="V35" s="666" t="s">
        <v>14</v>
      </c>
      <c r="W35" s="667">
        <f t="shared" si="11"/>
        <v>100</v>
      </c>
      <c r="X35" s="1263"/>
      <c r="Y35" s="3441"/>
      <c r="Z35" s="1262" t="str">
        <f t="shared" si="15"/>
        <v>噪音污染</v>
      </c>
      <c r="AA35" s="1262">
        <f t="shared" si="12"/>
        <v>1</v>
      </c>
      <c r="AB35" s="1262">
        <f t="shared" si="13"/>
        <v>1</v>
      </c>
      <c r="AC35" s="1262">
        <f t="shared" si="14"/>
        <v>1</v>
      </c>
    </row>
    <row r="36" spans="1:29" ht="15">
      <c r="A36" s="408"/>
      <c r="B36" s="363" t="s">
        <v>1699</v>
      </c>
      <c r="C36" s="3179" t="s">
        <v>3444</v>
      </c>
      <c r="D36" s="373">
        <v>100</v>
      </c>
      <c r="E36" s="3179" t="s">
        <v>3444</v>
      </c>
      <c r="F36" s="399">
        <f>SUMIF(109:109,E36,110:110)-SUMIF(109:109,C36,110:110)+100</f>
        <v>100</v>
      </c>
      <c r="G36" s="3179" t="s">
        <v>3444</v>
      </c>
      <c r="H36" s="373">
        <f>SUMIF(109:109,G36,110:110)-SUMIF(109:109,C36,110:110)+100</f>
        <v>100</v>
      </c>
      <c r="I36" s="3179" t="s">
        <v>3444</v>
      </c>
      <c r="J36" s="373">
        <f>SUMIF(109:109,I36,110:110)-SUMIF(109:109,C36,110:110)+100</f>
        <v>100</v>
      </c>
      <c r="K36" s="364"/>
      <c r="L36" s="2487"/>
      <c r="M36" s="2482"/>
      <c r="N36" s="2482"/>
      <c r="O36" s="2482"/>
      <c r="P36" s="3439"/>
      <c r="Q36" s="1261" t="str">
        <f t="shared" si="8"/>
        <v>公共部分装修</v>
      </c>
      <c r="R36" s="666" t="s">
        <v>14</v>
      </c>
      <c r="S36" s="667">
        <f t="shared" si="9"/>
        <v>100</v>
      </c>
      <c r="T36" s="666" t="s">
        <v>14</v>
      </c>
      <c r="U36" s="667">
        <f t="shared" si="10"/>
        <v>100</v>
      </c>
      <c r="V36" s="666" t="s">
        <v>14</v>
      </c>
      <c r="W36" s="667">
        <f t="shared" si="11"/>
        <v>100</v>
      </c>
      <c r="X36" s="1263"/>
      <c r="Y36" s="3441"/>
      <c r="Z36" s="1262" t="str">
        <f t="shared" si="15"/>
        <v>公共部分装修</v>
      </c>
      <c r="AA36" s="1262">
        <f t="shared" si="12"/>
        <v>1</v>
      </c>
      <c r="AB36" s="1262">
        <f t="shared" si="13"/>
        <v>1</v>
      </c>
      <c r="AC36" s="1262">
        <f t="shared" si="14"/>
        <v>1</v>
      </c>
    </row>
    <row r="37" spans="1:29" s="101" customFormat="1" ht="15">
      <c r="A37" s="409"/>
      <c r="B37" s="3170" t="s">
        <v>3455</v>
      </c>
      <c r="C37" s="3190">
        <v>0.94</v>
      </c>
      <c r="D37" s="118">
        <v>100</v>
      </c>
      <c r="E37" s="3190">
        <v>0.85</v>
      </c>
      <c r="F37" s="118">
        <f>F113</f>
        <v>99.5</v>
      </c>
      <c r="G37" s="3190">
        <v>0.78</v>
      </c>
      <c r="H37" s="118">
        <f>E113</f>
        <v>99</v>
      </c>
      <c r="I37" s="3190">
        <v>0.77</v>
      </c>
      <c r="J37" s="118">
        <f>H37</f>
        <v>99</v>
      </c>
      <c r="K37" s="364">
        <v>0.5</v>
      </c>
      <c r="L37" s="2483"/>
      <c r="M37" s="2434"/>
      <c r="N37" s="2434"/>
      <c r="O37" s="2434"/>
      <c r="P37" s="3439"/>
      <c r="Q37" s="529" t="str">
        <f t="shared" si="8"/>
        <v>成新度</v>
      </c>
      <c r="R37" s="663" t="s">
        <v>14</v>
      </c>
      <c r="S37" s="664">
        <f t="shared" si="9"/>
        <v>99.5</v>
      </c>
      <c r="T37" s="663" t="s">
        <v>14</v>
      </c>
      <c r="U37" s="664">
        <f t="shared" si="10"/>
        <v>99</v>
      </c>
      <c r="V37" s="663" t="s">
        <v>14</v>
      </c>
      <c r="W37" s="664">
        <f t="shared" si="11"/>
        <v>99</v>
      </c>
      <c r="X37" s="665"/>
      <c r="Y37" s="3441"/>
      <c r="Z37" s="50" t="str">
        <f t="shared" si="15"/>
        <v>成新度</v>
      </c>
      <c r="AA37" s="50">
        <f t="shared" si="12"/>
        <v>1.0050251256281406</v>
      </c>
      <c r="AB37" s="50">
        <f t="shared" si="13"/>
        <v>1.0101010101010102</v>
      </c>
      <c r="AC37" s="50">
        <f t="shared" si="14"/>
        <v>1.0101010101010102</v>
      </c>
    </row>
    <row r="38" spans="1:29" ht="15">
      <c r="A38" s="408"/>
      <c r="B38" s="363" t="s">
        <v>1700</v>
      </c>
      <c r="C38" s="3179" t="s">
        <v>3433</v>
      </c>
      <c r="D38" s="373">
        <v>100</v>
      </c>
      <c r="E38" s="3179" t="s">
        <v>3433</v>
      </c>
      <c r="F38" s="399">
        <f>SUMIF(114:114,E38,115:115)-SUMIF(114:114,C38,115:115)+100</f>
        <v>100</v>
      </c>
      <c r="G38" s="3179" t="s">
        <v>3433</v>
      </c>
      <c r="H38" s="373">
        <f>SUMIF(114:114,G38,115:115)-SUMIF(114:114,C38,115:115)+100</f>
        <v>100</v>
      </c>
      <c r="I38" s="3179" t="s">
        <v>3433</v>
      </c>
      <c r="J38" s="373">
        <f>SUMIF(114:114,I38,115:115)-SUMIF(114:114,C38,115:115)+100</f>
        <v>100</v>
      </c>
      <c r="K38" s="364">
        <v>1</v>
      </c>
      <c r="L38" s="2487"/>
      <c r="M38" s="2482"/>
      <c r="N38" s="2482"/>
      <c r="O38" s="2482"/>
      <c r="P38" s="3439" t="s">
        <v>1696</v>
      </c>
      <c r="Q38" s="1261" t="str">
        <f t="shared" si="8"/>
        <v>物业管理</v>
      </c>
      <c r="R38" s="666" t="s">
        <v>14</v>
      </c>
      <c r="S38" s="667">
        <f t="shared" si="9"/>
        <v>100</v>
      </c>
      <c r="T38" s="666" t="s">
        <v>14</v>
      </c>
      <c r="U38" s="667">
        <f t="shared" si="10"/>
        <v>100</v>
      </c>
      <c r="V38" s="666" t="s">
        <v>14</v>
      </c>
      <c r="W38" s="667">
        <f t="shared" si="11"/>
        <v>100</v>
      </c>
      <c r="X38" s="1263"/>
      <c r="Y38" s="3441" t="s">
        <v>1696</v>
      </c>
      <c r="Z38" s="1262" t="str">
        <f t="shared" si="15"/>
        <v>物业管理</v>
      </c>
      <c r="AA38" s="1262">
        <f t="shared" si="12"/>
        <v>1</v>
      </c>
      <c r="AB38" s="1262">
        <f t="shared" si="13"/>
        <v>1</v>
      </c>
      <c r="AC38" s="1262">
        <f t="shared" si="14"/>
        <v>1</v>
      </c>
    </row>
    <row r="39" spans="1:29" ht="15">
      <c r="A39" s="408"/>
      <c r="B39" s="363" t="s">
        <v>1701</v>
      </c>
      <c r="C39" s="3179" t="s">
        <v>3400</v>
      </c>
      <c r="D39" s="373">
        <v>100</v>
      </c>
      <c r="E39" s="3179" t="s">
        <v>3400</v>
      </c>
      <c r="F39" s="399">
        <f>SUMIF(116:116,E39,117:117)-SUMIF(116:116,C39,117:117)+100</f>
        <v>100</v>
      </c>
      <c r="G39" s="3179" t="s">
        <v>3400</v>
      </c>
      <c r="H39" s="373">
        <f>SUMIF(116:116,G39,117:117)-SUMIF(116:116,C39,117:117)+100</f>
        <v>100</v>
      </c>
      <c r="I39" s="3179" t="s">
        <v>3400</v>
      </c>
      <c r="J39" s="373">
        <f>SUMIF(116:116,I39,117:117)-SUMIF(116:116,C39,117:117)+100</f>
        <v>100</v>
      </c>
      <c r="K39" s="364"/>
      <c r="L39" s="2487"/>
      <c r="M39" s="2482"/>
      <c r="N39" s="2482"/>
      <c r="O39" s="2482"/>
      <c r="P39" s="3439"/>
      <c r="Q39" s="1261" t="str">
        <f t="shared" si="8"/>
        <v>市政基础设施</v>
      </c>
      <c r="R39" s="666" t="s">
        <v>14</v>
      </c>
      <c r="S39" s="667">
        <f t="shared" si="9"/>
        <v>100</v>
      </c>
      <c r="T39" s="666" t="s">
        <v>14</v>
      </c>
      <c r="U39" s="667">
        <f t="shared" si="10"/>
        <v>100</v>
      </c>
      <c r="V39" s="666" t="s">
        <v>14</v>
      </c>
      <c r="W39" s="667">
        <f t="shared" si="11"/>
        <v>100</v>
      </c>
      <c r="X39" s="1263"/>
      <c r="Y39" s="3441"/>
      <c r="Z39" s="1262" t="str">
        <f t="shared" si="15"/>
        <v>市政基础设施</v>
      </c>
      <c r="AA39" s="1262">
        <f t="shared" si="12"/>
        <v>1</v>
      </c>
      <c r="AB39" s="1262">
        <f t="shared" si="13"/>
        <v>1</v>
      </c>
      <c r="AC39" s="1262">
        <f t="shared" si="14"/>
        <v>1</v>
      </c>
    </row>
    <row r="40" spans="1:29" ht="15">
      <c r="A40" s="408"/>
      <c r="B40" s="363" t="s">
        <v>1702</v>
      </c>
      <c r="C40" s="1757" t="s">
        <v>3452</v>
      </c>
      <c r="D40" s="373">
        <v>100</v>
      </c>
      <c r="E40" s="1757" t="s">
        <v>3452</v>
      </c>
      <c r="F40" s="399">
        <f>SUMIF(118:118,E40,119:119)-SUMIF(118:118,C40,119:119)+100</f>
        <v>100</v>
      </c>
      <c r="G40" s="1757" t="s">
        <v>3452</v>
      </c>
      <c r="H40" s="373">
        <f>SUMIF(118:118,G40,119:119)-SUMIF(118:118,C40,119:119)+100</f>
        <v>100</v>
      </c>
      <c r="I40" s="1757" t="s">
        <v>3450</v>
      </c>
      <c r="J40" s="373">
        <f>SUMIF(118:118,I40,119:119)-SUMIF(118:118,C40,119:119)+100</f>
        <v>103</v>
      </c>
      <c r="K40" s="364">
        <v>3</v>
      </c>
      <c r="L40" s="2487"/>
      <c r="M40" s="2482"/>
      <c r="N40" s="2482"/>
      <c r="O40" s="2482"/>
      <c r="P40" s="3439"/>
      <c r="Q40" s="1261" t="str">
        <f t="shared" si="8"/>
        <v>房型</v>
      </c>
      <c r="R40" s="666" t="s">
        <v>14</v>
      </c>
      <c r="S40" s="667">
        <f t="shared" si="9"/>
        <v>100</v>
      </c>
      <c r="T40" s="666" t="s">
        <v>14</v>
      </c>
      <c r="U40" s="667">
        <f t="shared" si="10"/>
        <v>100</v>
      </c>
      <c r="V40" s="666" t="s">
        <v>14</v>
      </c>
      <c r="W40" s="667">
        <f t="shared" si="11"/>
        <v>103</v>
      </c>
      <c r="X40" s="1263"/>
      <c r="Y40" s="3441"/>
      <c r="Z40" s="1262" t="str">
        <f t="shared" si="15"/>
        <v>房型</v>
      </c>
      <c r="AA40" s="1262">
        <f t="shared" si="12"/>
        <v>1</v>
      </c>
      <c r="AB40" s="1262">
        <f t="shared" si="13"/>
        <v>1</v>
      </c>
      <c r="AC40" s="1262">
        <f t="shared" si="14"/>
        <v>0.970873786407767</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39"/>
      <c r="Q41" s="530" t="str">
        <f t="shared" si="8"/>
        <v>单套/主力户型建筑面积</v>
      </c>
      <c r="R41" s="668" t="s">
        <v>14</v>
      </c>
      <c r="S41" s="669">
        <f t="shared" si="9"/>
        <v>100</v>
      </c>
      <c r="T41" s="668" t="s">
        <v>14</v>
      </c>
      <c r="U41" s="669">
        <f t="shared" si="10"/>
        <v>100</v>
      </c>
      <c r="V41" s="668" t="s">
        <v>14</v>
      </c>
      <c r="W41" s="669">
        <f t="shared" si="11"/>
        <v>100</v>
      </c>
      <c r="X41" s="670"/>
      <c r="Y41" s="3441"/>
      <c r="Z41" s="671" t="str">
        <f t="shared" si="15"/>
        <v>单套/主力户型建筑面积</v>
      </c>
      <c r="AA41" s="1262">
        <f t="shared" si="12"/>
        <v>1</v>
      </c>
      <c r="AB41" s="1262">
        <f t="shared" si="13"/>
        <v>1</v>
      </c>
      <c r="AC41" s="1262">
        <f t="shared" si="14"/>
        <v>1</v>
      </c>
    </row>
    <row r="42" spans="1:29" ht="15">
      <c r="A42" s="408"/>
      <c r="B42" s="363" t="s">
        <v>1704</v>
      </c>
      <c r="C42" s="1757" t="s">
        <v>3469</v>
      </c>
      <c r="D42" s="373">
        <v>100</v>
      </c>
      <c r="E42" s="1757" t="s">
        <v>3444</v>
      </c>
      <c r="F42" s="399">
        <f>SUMIF(122:122,E42,123:123)-SUMIF(122:122,C42,123:123)+100</f>
        <v>104</v>
      </c>
      <c r="G42" s="1757" t="s">
        <v>3444</v>
      </c>
      <c r="H42" s="373">
        <f>SUMIF(122:122,G42,123:123)-SUMIF(122:122,C42,123:123)+100</f>
        <v>104</v>
      </c>
      <c r="I42" s="1757" t="s">
        <v>3444</v>
      </c>
      <c r="J42" s="373">
        <f>SUMIF(122:122,I42,123:123)-SUMIF(122:122,C42,123:123)+100</f>
        <v>104</v>
      </c>
      <c r="K42" s="364">
        <v>2</v>
      </c>
      <c r="L42" s="2487"/>
      <c r="M42" s="2482"/>
      <c r="N42" s="2482"/>
      <c r="O42" s="2482"/>
      <c r="P42" s="3439"/>
      <c r="Q42" s="1261" t="str">
        <f t="shared" si="8"/>
        <v>内部装修</v>
      </c>
      <c r="R42" s="666" t="s">
        <v>14</v>
      </c>
      <c r="S42" s="667">
        <f t="shared" si="9"/>
        <v>104</v>
      </c>
      <c r="T42" s="666" t="s">
        <v>14</v>
      </c>
      <c r="U42" s="667">
        <f t="shared" si="10"/>
        <v>104</v>
      </c>
      <c r="V42" s="666" t="s">
        <v>14</v>
      </c>
      <c r="W42" s="667">
        <f t="shared" si="11"/>
        <v>104</v>
      </c>
      <c r="X42" s="1263"/>
      <c r="Y42" s="3441"/>
      <c r="Z42" s="1262" t="str">
        <f t="shared" si="15"/>
        <v>内部装修</v>
      </c>
      <c r="AA42" s="1262">
        <f t="shared" si="12"/>
        <v>0.96153846153846156</v>
      </c>
      <c r="AB42" s="1262">
        <f t="shared" si="13"/>
        <v>0.96153846153846156</v>
      </c>
      <c r="AC42" s="1262">
        <f t="shared" si="14"/>
        <v>0.96153846153846156</v>
      </c>
    </row>
    <row r="43" spans="1:29" ht="15">
      <c r="A43" s="408"/>
      <c r="B43" s="363" t="s">
        <v>1705</v>
      </c>
      <c r="C43" s="1757" t="s">
        <v>3395</v>
      </c>
      <c r="D43" s="373">
        <v>100</v>
      </c>
      <c r="E43" s="1757" t="s">
        <v>3395</v>
      </c>
      <c r="F43" s="399">
        <f>SUMIF(124:124,E43,125:125)-SUMIF(124:124,C43,125:125)+100</f>
        <v>100</v>
      </c>
      <c r="G43" s="1757" t="s">
        <v>3395</v>
      </c>
      <c r="H43" s="373">
        <f>SUMIF(124:124,G43,125:125)-SUMIF(124:124,C43,125:125)+100</f>
        <v>100</v>
      </c>
      <c r="I43" s="1757" t="s">
        <v>3395</v>
      </c>
      <c r="J43" s="373">
        <f>SUMIF(124:124,I43,125:125)-SUMIF(124:124,C43,125:125)+100</f>
        <v>100</v>
      </c>
      <c r="K43" s="364">
        <v>0.5</v>
      </c>
      <c r="L43" s="2487"/>
      <c r="M43" s="2482"/>
      <c r="N43" s="2482"/>
      <c r="O43" s="2482"/>
      <c r="P43" s="3439"/>
      <c r="Q43" s="1261" t="str">
        <f t="shared" si="8"/>
        <v>内部装修维护情况</v>
      </c>
      <c r="R43" s="666" t="s">
        <v>14</v>
      </c>
      <c r="S43" s="667">
        <f t="shared" si="9"/>
        <v>100</v>
      </c>
      <c r="T43" s="666" t="s">
        <v>14</v>
      </c>
      <c r="U43" s="667">
        <f t="shared" si="10"/>
        <v>100</v>
      </c>
      <c r="V43" s="666" t="s">
        <v>14</v>
      </c>
      <c r="W43" s="667">
        <f t="shared" si="11"/>
        <v>100</v>
      </c>
      <c r="X43" s="1263"/>
      <c r="Y43" s="3441"/>
      <c r="Z43" s="1262" t="str">
        <f t="shared" si="15"/>
        <v>内部装修维护情况</v>
      </c>
      <c r="AA43" s="1262">
        <f t="shared" si="12"/>
        <v>1</v>
      </c>
      <c r="AB43" s="1262">
        <f t="shared" si="13"/>
        <v>1</v>
      </c>
      <c r="AC43" s="1262">
        <f t="shared" si="14"/>
        <v>1</v>
      </c>
    </row>
    <row r="44" spans="1:29" s="101" customFormat="1" ht="15">
      <c r="A44" s="409"/>
      <c r="B44" s="3140" t="s">
        <v>3471</v>
      </c>
      <c r="C44" s="3142" t="s">
        <v>3472</v>
      </c>
      <c r="D44" s="118">
        <v>100</v>
      </c>
      <c r="E44" s="3142" t="s">
        <v>3472</v>
      </c>
      <c r="F44" s="363">
        <f>SUMIF(126:126,E44,127:127)-SUMIF(126:126,C44,127:127)+100</f>
        <v>100</v>
      </c>
      <c r="G44" s="3142" t="s">
        <v>3476</v>
      </c>
      <c r="H44" s="118">
        <f>SUMIF(126:126,G44,127:127)-SUMIF(126:126,C44,127:127)+100</f>
        <v>99.5</v>
      </c>
      <c r="I44" s="3142" t="s">
        <v>3476</v>
      </c>
      <c r="J44" s="118">
        <f>SUMIF(126:126,I44,127:127)-SUMIF(126:126,C44,127:127)+100</f>
        <v>99.5</v>
      </c>
      <c r="K44" s="1745"/>
      <c r="L44" s="2483"/>
      <c r="M44" s="2434"/>
      <c r="N44" s="2434"/>
      <c r="O44" s="2434"/>
      <c r="P44" s="3439"/>
      <c r="Q44" s="529" t="str">
        <f t="shared" si="8"/>
        <v>设施设备情况</v>
      </c>
      <c r="R44" s="663" t="s">
        <v>14</v>
      </c>
      <c r="S44" s="664">
        <f t="shared" si="9"/>
        <v>100</v>
      </c>
      <c r="T44" s="663" t="s">
        <v>14</v>
      </c>
      <c r="U44" s="664">
        <f t="shared" si="10"/>
        <v>99.5</v>
      </c>
      <c r="V44" s="663" t="s">
        <v>14</v>
      </c>
      <c r="W44" s="664">
        <f t="shared" si="11"/>
        <v>99.5</v>
      </c>
      <c r="X44" s="665"/>
      <c r="Y44" s="3441"/>
      <c r="Z44" s="50" t="str">
        <f t="shared" si="15"/>
        <v>设施设备情况</v>
      </c>
      <c r="AA44" s="50">
        <f t="shared" si="12"/>
        <v>1</v>
      </c>
      <c r="AB44" s="50">
        <f t="shared" si="13"/>
        <v>1.0050251256281406</v>
      </c>
      <c r="AC44" s="50">
        <f t="shared" si="14"/>
        <v>1.0050251256281406</v>
      </c>
    </row>
    <row r="45" spans="1:29" ht="15.75" thickBot="1">
      <c r="A45" s="408"/>
      <c r="B45" s="3140"/>
      <c r="C45" s="3142"/>
      <c r="D45" s="373">
        <v>100</v>
      </c>
      <c r="E45" s="3142"/>
      <c r="F45" s="377">
        <f>SUMIF(129:129,E45,130:130)-SUMIF(129:129,C45,130:130)+100</f>
        <v>100</v>
      </c>
      <c r="G45" s="375"/>
      <c r="H45" s="376">
        <f>SUMIF(129:129,G45,130:130)-SUMIF(129:129,C45,130:130)+100</f>
        <v>100</v>
      </c>
      <c r="I45" s="375"/>
      <c r="J45" s="376">
        <f>SUMIF(129:129,I45,130:130)-SUMIF(129:129,C45,130:130)+100</f>
        <v>100</v>
      </c>
      <c r="K45" s="1745"/>
      <c r="L45" s="2487"/>
      <c r="M45" s="2482"/>
      <c r="N45" s="2482"/>
      <c r="O45" s="2482"/>
      <c r="P45" s="3439"/>
      <c r="Q45" s="1261">
        <f t="shared" si="8"/>
        <v>0</v>
      </c>
      <c r="R45" s="666" t="s">
        <v>14</v>
      </c>
      <c r="S45" s="667">
        <f t="shared" si="9"/>
        <v>100</v>
      </c>
      <c r="T45" s="666" t="s">
        <v>14</v>
      </c>
      <c r="U45" s="667">
        <f t="shared" si="10"/>
        <v>100</v>
      </c>
      <c r="V45" s="666" t="s">
        <v>14</v>
      </c>
      <c r="W45" s="667">
        <f t="shared" si="11"/>
        <v>100</v>
      </c>
      <c r="X45" s="1263"/>
      <c r="Y45" s="3441"/>
      <c r="Z45" s="1262">
        <f t="shared" si="15"/>
        <v>0</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40"/>
      <c r="Q46" s="1261">
        <f t="shared" si="8"/>
        <v>111</v>
      </c>
      <c r="R46" s="666" t="s">
        <v>14</v>
      </c>
      <c r="S46" s="667">
        <f t="shared" si="9"/>
        <v>100</v>
      </c>
      <c r="T46" s="666" t="s">
        <v>14</v>
      </c>
      <c r="U46" s="667">
        <f t="shared" si="10"/>
        <v>100</v>
      </c>
      <c r="V46" s="666" t="s">
        <v>14</v>
      </c>
      <c r="W46" s="667">
        <f t="shared" si="11"/>
        <v>100</v>
      </c>
      <c r="X46" s="1263"/>
      <c r="Y46" s="3442"/>
      <c r="Z46" s="1262">
        <f t="shared" si="15"/>
        <v>111</v>
      </c>
      <c r="AA46" s="1262">
        <f t="shared" si="12"/>
        <v>1</v>
      </c>
      <c r="AB46" s="1262">
        <f t="shared" si="13"/>
        <v>1</v>
      </c>
      <c r="AC46" s="1262">
        <f t="shared" si="14"/>
        <v>1</v>
      </c>
    </row>
    <row r="47" spans="1:29" ht="15">
      <c r="A47" s="415" t="s">
        <v>1706</v>
      </c>
      <c r="B47" s="416"/>
      <c r="C47" s="1080" t="s">
        <v>0</v>
      </c>
      <c r="D47" s="417"/>
      <c r="E47" s="418">
        <f>案例!N41</f>
        <v>47.42</v>
      </c>
      <c r="F47" s="419"/>
      <c r="G47" s="420">
        <f>案例!N44</f>
        <v>57.56</v>
      </c>
      <c r="H47" s="421"/>
      <c r="I47" s="418">
        <f>案例!N43</f>
        <v>53.11</v>
      </c>
      <c r="J47" s="421"/>
      <c r="K47" s="1762"/>
      <c r="L47" s="2489"/>
      <c r="M47" s="2482"/>
      <c r="N47" s="2482"/>
      <c r="O47" s="2482"/>
      <c r="P47" s="3434" t="str">
        <f>A47</f>
        <v>成交单价（元/平方米）</v>
      </c>
      <c r="Q47" s="3434"/>
      <c r="R47" s="3435">
        <f>E47</f>
        <v>47.42</v>
      </c>
      <c r="S47" s="3435"/>
      <c r="T47" s="3435">
        <f>G47</f>
        <v>57.56</v>
      </c>
      <c r="U47" s="3435"/>
      <c r="V47" s="3435">
        <f>I47</f>
        <v>53.11</v>
      </c>
      <c r="W47" s="3435"/>
      <c r="X47" s="384"/>
      <c r="Y47" s="672"/>
      <c r="Z47" s="384"/>
      <c r="AA47" s="384"/>
      <c r="AB47" s="384"/>
      <c r="AC47" s="384"/>
    </row>
    <row r="48" spans="1:29" ht="15.75" thickBot="1">
      <c r="A48" s="422" t="s">
        <v>1707</v>
      </c>
      <c r="B48" s="423"/>
      <c r="C48" s="1081">
        <f>R49</f>
        <v>50.54</v>
      </c>
      <c r="D48" s="2136" t="s">
        <v>2135</v>
      </c>
      <c r="E48" s="1082">
        <f>R48</f>
        <v>46.76</v>
      </c>
      <c r="F48" s="2137"/>
      <c r="G48" s="1081">
        <f>T48</f>
        <v>53.47</v>
      </c>
      <c r="H48" s="2137"/>
      <c r="I48" s="1082">
        <f>V48</f>
        <v>51.4</v>
      </c>
      <c r="J48" s="2137"/>
      <c r="K48" s="2138">
        <f>F48+H48+J48</f>
        <v>0</v>
      </c>
      <c r="L48" s="2489"/>
      <c r="M48" s="2482"/>
      <c r="N48" s="2482"/>
      <c r="O48" s="2482"/>
      <c r="P48" s="3434" t="str">
        <f>A48</f>
        <v>比较价值（元/平方米）</v>
      </c>
      <c r="Q48" s="3434"/>
      <c r="R48" s="3435">
        <f>IF(F1="售价",ROUND(PRODUCT(R47,AA7:AA46),0),ROUND(PRODUCT(R47,AA7:AA46),2))</f>
        <v>46.76</v>
      </c>
      <c r="S48" s="3435"/>
      <c r="T48" s="3435">
        <f>IF(F1="售价",ROUND(PRODUCT(T47,AB7:AB46),0),ROUND(PRODUCT(T47,AB7:AB46),2))</f>
        <v>53.47</v>
      </c>
      <c r="U48" s="3435"/>
      <c r="V48" s="3435">
        <f>IF(F1="售价",ROUND(PRODUCT(V47,AC7:AC46),0),ROUND(PRODUCT(V47,AC7:AC46),2))</f>
        <v>51.4</v>
      </c>
      <c r="W48" s="3435"/>
      <c r="X48" s="384"/>
      <c r="Y48" s="384"/>
      <c r="Z48" s="384"/>
      <c r="AA48" s="384"/>
      <c r="AB48" s="384"/>
      <c r="AC48" s="384"/>
    </row>
    <row r="49" spans="1:29" ht="15.75" thickBot="1">
      <c r="A49" s="426" t="s">
        <v>1708</v>
      </c>
      <c r="B49" s="427"/>
      <c r="C49" s="1083">
        <f>R49</f>
        <v>50.54</v>
      </c>
      <c r="D49" s="350"/>
      <c r="E49" s="350"/>
      <c r="F49" s="350"/>
      <c r="G49" s="350"/>
      <c r="H49" s="350"/>
      <c r="I49" s="350"/>
      <c r="J49" s="350"/>
      <c r="K49" s="1763"/>
      <c r="L49" s="2489"/>
      <c r="M49" s="2482"/>
      <c r="N49" s="2482"/>
      <c r="O49" s="2482"/>
      <c r="P49" s="3431" t="str">
        <f>A49</f>
        <v>估价对象XX用房的比较价值（楼面单价，元/平方米）</v>
      </c>
      <c r="Q49" s="3432"/>
      <c r="R49" s="3433">
        <f>IF(F1="售价",ROUND(IF(D48="简单平均",AVERAGE(R48:V48),R48*F48+T48*H48+V48*J48),0),ROUND(IF(D48="简单平均",AVERAGE(R48:V48),R48*F48+T48*H48+V48*J48),2))</f>
        <v>50.54</v>
      </c>
      <c r="S49" s="3433"/>
      <c r="T49" s="3433"/>
      <c r="U49" s="3433"/>
      <c r="V49" s="3433"/>
      <c r="W49" s="3433"/>
      <c r="X49" s="384"/>
      <c r="Y49" s="384"/>
      <c r="Z49" s="384"/>
      <c r="AA49" s="384"/>
      <c r="AB49" s="384"/>
      <c r="AC49" s="384"/>
    </row>
    <row r="50" spans="1:29">
      <c r="A50" s="2482"/>
      <c r="B50" s="2482"/>
      <c r="C50" s="2482">
        <f>C49*89</f>
        <v>4498.0599999999995</v>
      </c>
      <c r="D50" s="2482"/>
      <c r="E50" s="2482">
        <v>2007</v>
      </c>
      <c r="F50" s="2482"/>
      <c r="G50" s="2482">
        <v>2000</v>
      </c>
      <c r="H50" s="2482"/>
      <c r="I50" s="2482">
        <v>1998</v>
      </c>
      <c r="J50" s="2482"/>
      <c r="K50" s="2494"/>
      <c r="L50" s="2490"/>
      <c r="M50" s="2482"/>
      <c r="N50" s="2482"/>
      <c r="O50" s="2482"/>
    </row>
    <row r="51" spans="1:29">
      <c r="A51" s="2482"/>
      <c r="B51" s="2482"/>
      <c r="C51" s="2482"/>
      <c r="D51" s="2482"/>
      <c r="E51" s="2482">
        <f>ROUND((1-(2024-E50)/60)*0.3+0.9*0.7,2)</f>
        <v>0.85</v>
      </c>
      <c r="F51" s="2482"/>
      <c r="G51" s="2482">
        <f>ROUND((1-(2024-G50)/60)*0.3+0.85*0.7,2)</f>
        <v>0.78</v>
      </c>
      <c r="H51" s="2482"/>
      <c r="I51" s="2482">
        <f>ROUND((1-(2024-I50)/60)*0.3+0.85*0.7,2)</f>
        <v>0.77</v>
      </c>
      <c r="J51" s="2482"/>
      <c r="K51" s="2494"/>
      <c r="L51" s="2490"/>
      <c r="M51" s="2482"/>
      <c r="N51" s="2482"/>
      <c r="O51" s="2482"/>
    </row>
    <row r="52" spans="1:29" ht="13.5" customHeight="1">
      <c r="A52" s="2482"/>
      <c r="B52" s="2482"/>
      <c r="C52" s="431" t="s">
        <v>1709</v>
      </c>
      <c r="D52" s="432"/>
      <c r="E52" s="433">
        <f>IF(E47&lt;E48,E48/E47-1,E47/E48-1)</f>
        <v>1.4114627887082953E-2</v>
      </c>
      <c r="F52" s="434" t="str">
        <f>IF(OR(E52&gt;=0.3,E52&lt;=-0.3),"超过30%","")</f>
        <v/>
      </c>
      <c r="G52" s="433">
        <f>IF(G47&lt;G48,G48/G47-1,G47/G48-1)</f>
        <v>7.649149055545168E-2</v>
      </c>
      <c r="H52" s="434" t="str">
        <f>IF(OR(G52&gt;=0.3,G52&lt;=-0.3),"超过30%","")</f>
        <v/>
      </c>
      <c r="I52" s="433">
        <f>IF(I47&lt;I48,I48/I47-1,I47/I48-1)</f>
        <v>3.3268482490272477E-2</v>
      </c>
      <c r="J52" s="434" t="str">
        <f>IF(OR(I52&gt;=0.3,I52&lt;=-0.3),"超过30%","")</f>
        <v/>
      </c>
      <c r="K52" s="2494"/>
      <c r="L52" s="2490"/>
      <c r="M52" s="2482"/>
      <c r="N52" s="2482"/>
      <c r="O52" s="2482"/>
    </row>
    <row r="53" spans="1:29" ht="13.5" customHeight="1">
      <c r="A53" s="2482"/>
      <c r="B53" s="2482"/>
      <c r="C53" s="431" t="s">
        <v>1710</v>
      </c>
      <c r="D53" s="435"/>
      <c r="E53" s="433">
        <f>IF(E48&lt;G48,G48/E48-1,E48/G48-1)</f>
        <v>0.14349871685201032</v>
      </c>
      <c r="F53" s="434" t="str">
        <f>IF(OR(E53&gt;=0.2,E53&lt;=-0.2),"超过20%","")</f>
        <v/>
      </c>
      <c r="G53" s="433">
        <f>IF(G48&lt;I48,I48/G48-1,G48/I48-1)</f>
        <v>4.027237354085611E-2</v>
      </c>
      <c r="H53" s="434" t="str">
        <f>IF(OR(G53&gt;=0.2,G53&lt;=-0.2),"超过20%","")</f>
        <v/>
      </c>
      <c r="I53" s="433">
        <f>IF(I48&lt;E48,E48/I48-1,I48/E48-1)</f>
        <v>9.92301112061591E-2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0.21383382539013085</v>
      </c>
      <c r="F54" s="434" t="str">
        <f>IF(OR(E54&gt;=0.3,E54&lt;=-0.3),"超过30%","")</f>
        <v/>
      </c>
      <c r="G54" s="433">
        <f>IF(G47&lt;I47,I47/G47-1,G47/I47-1)</f>
        <v>8.3788363773300789E-2</v>
      </c>
      <c r="H54" s="434" t="str">
        <f>IF(OR(G54&gt;=0.3,G54&lt;=-0.3),"超过30%","")</f>
        <v/>
      </c>
      <c r="I54" s="433">
        <f>IF(I47&lt;E47,E47/I47-1,I47/E47-1)</f>
        <v>0.11999156474061579</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1679</v>
      </c>
      <c r="B58" s="440"/>
      <c r="C58" s="1103" t="str">
        <f>YEAR(C7)&amp;"-"&amp;MONTH(C7)</f>
        <v>2024-12</v>
      </c>
      <c r="D58" s="1102">
        <f>EDATE(C58,-1)</f>
        <v>45597</v>
      </c>
      <c r="E58" s="1102">
        <f>EDATE(D58,-1)</f>
        <v>45566</v>
      </c>
      <c r="F58" s="1102">
        <f t="shared" ref="F58:AB58" si="16">EDATE(E58,-1)</f>
        <v>45536</v>
      </c>
      <c r="G58" s="1102">
        <f t="shared" si="16"/>
        <v>45505</v>
      </c>
      <c r="H58" s="1102">
        <f t="shared" si="16"/>
        <v>45474</v>
      </c>
      <c r="I58" s="1102">
        <f t="shared" si="16"/>
        <v>45444</v>
      </c>
      <c r="J58" s="1102">
        <f t="shared" si="16"/>
        <v>45413</v>
      </c>
      <c r="K58" s="1102">
        <f t="shared" si="16"/>
        <v>45383</v>
      </c>
      <c r="L58" s="1102">
        <f t="shared" si="16"/>
        <v>45352</v>
      </c>
      <c r="M58" s="1102">
        <f t="shared" si="16"/>
        <v>45323</v>
      </c>
      <c r="N58" s="1102">
        <f t="shared" si="16"/>
        <v>45292</v>
      </c>
      <c r="O58" s="1102">
        <f t="shared" si="16"/>
        <v>45261</v>
      </c>
      <c r="P58" s="3143">
        <f t="shared" si="16"/>
        <v>45231</v>
      </c>
      <c r="Q58" s="3143">
        <f t="shared" si="16"/>
        <v>45200</v>
      </c>
      <c r="R58" s="3143">
        <f t="shared" si="16"/>
        <v>45170</v>
      </c>
      <c r="S58" s="3143">
        <f t="shared" si="16"/>
        <v>45139</v>
      </c>
      <c r="T58" s="3143">
        <f t="shared" si="16"/>
        <v>45108</v>
      </c>
      <c r="U58" s="3143">
        <f t="shared" si="16"/>
        <v>45078</v>
      </c>
      <c r="V58" s="3143">
        <f t="shared" si="16"/>
        <v>45047</v>
      </c>
      <c r="W58" s="3143">
        <f t="shared" si="16"/>
        <v>45017</v>
      </c>
      <c r="X58" s="3143">
        <f t="shared" si="16"/>
        <v>44986</v>
      </c>
      <c r="Y58" s="3143">
        <f t="shared" si="16"/>
        <v>44958</v>
      </c>
      <c r="Z58" s="3143">
        <f t="shared" si="16"/>
        <v>44927</v>
      </c>
      <c r="AA58" s="3143">
        <f t="shared" si="16"/>
        <v>44896</v>
      </c>
      <c r="AB58" s="3143">
        <f t="shared" si="16"/>
        <v>44866</v>
      </c>
    </row>
    <row r="59" spans="1:29" s="101" customFormat="1" ht="15">
      <c r="A59" s="442"/>
      <c r="B59" s="1767"/>
      <c r="C59" s="1100">
        <v>100</v>
      </c>
      <c r="D59" s="445">
        <f>C59</f>
        <v>100</v>
      </c>
      <c r="E59" s="445">
        <f>D59+$C$60</f>
        <v>100.2</v>
      </c>
      <c r="F59" s="445">
        <f>E59</f>
        <v>100.2</v>
      </c>
      <c r="G59" s="445">
        <f>F59</f>
        <v>100.2</v>
      </c>
      <c r="H59" s="445">
        <f t="shared" ref="H59" si="17">G59+$C$60</f>
        <v>100.4</v>
      </c>
      <c r="I59" s="445">
        <f t="shared" ref="I59:J59" si="18">H59</f>
        <v>100.4</v>
      </c>
      <c r="J59" s="445">
        <f t="shared" si="18"/>
        <v>100.4</v>
      </c>
      <c r="K59" s="445">
        <f t="shared" ref="K59" si="19">J59+$C$60</f>
        <v>100.60000000000001</v>
      </c>
      <c r="L59" s="445">
        <f t="shared" ref="L59:M59" si="20">K59</f>
        <v>100.60000000000001</v>
      </c>
      <c r="M59" s="445">
        <f t="shared" si="20"/>
        <v>100.60000000000001</v>
      </c>
      <c r="N59" s="445">
        <f t="shared" ref="N59" si="21">M59+$C$60</f>
        <v>100.80000000000001</v>
      </c>
      <c r="O59" s="445">
        <f t="shared" ref="O59:P59" si="22">N59</f>
        <v>100.80000000000001</v>
      </c>
      <c r="P59" s="445">
        <f t="shared" si="22"/>
        <v>100.80000000000001</v>
      </c>
      <c r="Q59" s="445">
        <f t="shared" ref="Q59" si="23">P59+$C$60</f>
        <v>101.00000000000001</v>
      </c>
      <c r="R59" s="445">
        <f t="shared" ref="R59:S59" si="24">Q59</f>
        <v>101.00000000000001</v>
      </c>
      <c r="S59" s="445">
        <f t="shared" si="24"/>
        <v>101.00000000000001</v>
      </c>
      <c r="T59" s="101">
        <f>S59</f>
        <v>101.00000000000001</v>
      </c>
      <c r="U59" s="101">
        <f>T59</f>
        <v>101.00000000000001</v>
      </c>
      <c r="V59" s="101">
        <f>U59-C60</f>
        <v>100.80000000000001</v>
      </c>
      <c r="W59" s="101">
        <f>V59</f>
        <v>100.80000000000001</v>
      </c>
      <c r="X59" s="101">
        <f>V59</f>
        <v>100.80000000000001</v>
      </c>
      <c r="Y59" s="101">
        <f>X59-C60</f>
        <v>100.60000000000001</v>
      </c>
      <c r="Z59" s="101">
        <f>Y59</f>
        <v>100.60000000000001</v>
      </c>
      <c r="AA59" s="101">
        <f>Y59</f>
        <v>100.60000000000001</v>
      </c>
      <c r="AB59" s="101">
        <f>AA59-C60</f>
        <v>100.4</v>
      </c>
    </row>
    <row r="60" spans="1:29" s="101" customFormat="1" ht="15.75" thickBot="1">
      <c r="A60" s="448" t="s">
        <v>1714</v>
      </c>
      <c r="B60" s="449"/>
      <c r="C60" s="450">
        <v>0.2</v>
      </c>
      <c r="D60" s="451"/>
      <c r="E60" s="451"/>
      <c r="F60" s="451"/>
      <c r="G60" s="451"/>
      <c r="H60" s="451"/>
      <c r="I60" s="451"/>
      <c r="J60" s="451"/>
      <c r="K60" s="451"/>
      <c r="L60" s="451"/>
      <c r="M60" s="452"/>
      <c r="N60" s="451"/>
      <c r="O60" s="452"/>
      <c r="P60" s="1768"/>
      <c r="Q60" s="438"/>
    </row>
    <row r="61" spans="1:29" s="101" customFormat="1" ht="15">
      <c r="A61" s="454" t="s">
        <v>1681</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5" t="s">
        <v>3437</v>
      </c>
      <c r="D65" s="3145" t="s">
        <v>3438</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25">D68&amp;"（含）"&amp;"-"&amp;E68</f>
        <v>1（含）-2</v>
      </c>
      <c r="E67" s="477" t="str">
        <f t="shared" si="25"/>
        <v>2（含）-3</v>
      </c>
      <c r="F67" s="477" t="str">
        <f t="shared" si="25"/>
        <v>3（含）-</v>
      </c>
      <c r="G67" s="477" t="str">
        <f t="shared" si="25"/>
        <v>（含）-</v>
      </c>
      <c r="H67" s="477" t="str">
        <f t="shared" si="25"/>
        <v>（含）-</v>
      </c>
      <c r="I67" s="477" t="str">
        <f t="shared" si="25"/>
        <v>（含）-</v>
      </c>
      <c r="J67" s="477" t="str">
        <f t="shared" si="25"/>
        <v>（含）-</v>
      </c>
      <c r="K67" s="477" t="str">
        <f>K68&amp;"（含）"&amp;"-"&amp;L68</f>
        <v>（含）-</v>
      </c>
      <c r="L67" s="477" t="str">
        <f t="shared" si="25"/>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26">C69-$K11</f>
        <v>100</v>
      </c>
      <c r="E69" s="474">
        <f t="shared" si="26"/>
        <v>100</v>
      </c>
      <c r="F69" s="474">
        <f t="shared" si="26"/>
        <v>100</v>
      </c>
      <c r="G69" s="474">
        <f t="shared" si="26"/>
        <v>100</v>
      </c>
      <c r="H69" s="474">
        <f t="shared" si="26"/>
        <v>100</v>
      </c>
      <c r="I69" s="474">
        <f t="shared" si="26"/>
        <v>100</v>
      </c>
      <c r="J69" s="474">
        <f t="shared" si="26"/>
        <v>100</v>
      </c>
      <c r="K69" s="474">
        <f t="shared" si="26"/>
        <v>100</v>
      </c>
      <c r="L69" s="474">
        <f t="shared" si="26"/>
        <v>100</v>
      </c>
      <c r="M69" s="475">
        <f t="shared" si="26"/>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99</v>
      </c>
      <c r="E79" s="474">
        <f>D79-$K17</f>
        <v>98</v>
      </c>
      <c r="F79" s="474">
        <f>E79-$K17</f>
        <v>97</v>
      </c>
      <c r="G79" s="474">
        <f>F79-$K17</f>
        <v>96</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98</v>
      </c>
      <c r="E81" s="474">
        <f>D81-$K19</f>
        <v>96</v>
      </c>
      <c r="F81" s="474">
        <f>E81-$K19</f>
        <v>94</v>
      </c>
      <c r="G81" s="474">
        <f>F81-$K19</f>
        <v>92</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39"/>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7">$C$87-($C$86-D86)*$K$25</f>
        <v>100</v>
      </c>
      <c r="E87" s="474">
        <f t="shared" si="27"/>
        <v>100</v>
      </c>
      <c r="F87" s="474">
        <f t="shared" si="27"/>
        <v>100</v>
      </c>
      <c r="G87" s="474">
        <f t="shared" si="27"/>
        <v>100</v>
      </c>
      <c r="H87" s="474">
        <f t="shared" si="27"/>
        <v>100</v>
      </c>
      <c r="I87" s="474">
        <f t="shared" si="27"/>
        <v>100</v>
      </c>
      <c r="J87" s="474">
        <f t="shared" si="27"/>
        <v>100</v>
      </c>
      <c r="K87" s="474">
        <f t="shared" si="27"/>
        <v>100</v>
      </c>
      <c r="L87" s="474">
        <f t="shared" si="27"/>
        <v>100</v>
      </c>
      <c r="M87" s="474">
        <f t="shared" si="27"/>
        <v>100</v>
      </c>
      <c r="N87" s="879"/>
      <c r="O87" s="879"/>
      <c r="P87" s="1770"/>
      <c r="Q87" s="438"/>
    </row>
    <row r="88" spans="1:17" s="101" customFormat="1" ht="15.75" thickTop="1">
      <c r="A88" s="369"/>
      <c r="B88" s="468" t="s">
        <v>1733</v>
      </c>
      <c r="C88" s="3158" t="s">
        <v>3409</v>
      </c>
      <c r="D88" s="3145" t="s">
        <v>3410</v>
      </c>
      <c r="E88" s="3145" t="s">
        <v>3411</v>
      </c>
      <c r="F88" s="3145" t="s">
        <v>3412</v>
      </c>
      <c r="G88" s="3145" t="s">
        <v>3413</v>
      </c>
      <c r="H88" s="3145" t="s">
        <v>3414</v>
      </c>
      <c r="I88" s="3159" t="s">
        <v>3415</v>
      </c>
      <c r="J88" s="3159" t="s">
        <v>3416</v>
      </c>
      <c r="K88" s="3145" t="s">
        <v>3417</v>
      </c>
      <c r="L88" s="3145" t="s">
        <v>3418</v>
      </c>
      <c r="M88" s="3145"/>
      <c r="N88" s="877"/>
      <c r="O88" s="877"/>
      <c r="P88" s="1770"/>
      <c r="Q88" s="438"/>
    </row>
    <row r="89" spans="1:17" s="101" customFormat="1" ht="15.75" thickBot="1">
      <c r="A89" s="369"/>
      <c r="B89" s="473"/>
      <c r="C89" s="511">
        <v>100</v>
      </c>
      <c r="D89" s="474">
        <f t="shared" ref="D89:M89" si="28">C89-$K26</f>
        <v>99</v>
      </c>
      <c r="E89" s="474">
        <f t="shared" si="28"/>
        <v>98</v>
      </c>
      <c r="F89" s="474">
        <f t="shared" si="28"/>
        <v>97</v>
      </c>
      <c r="G89" s="474">
        <f t="shared" si="28"/>
        <v>96</v>
      </c>
      <c r="H89" s="474">
        <f t="shared" si="28"/>
        <v>95</v>
      </c>
      <c r="I89" s="474">
        <f t="shared" si="28"/>
        <v>94</v>
      </c>
      <c r="J89" s="474">
        <f t="shared" si="28"/>
        <v>93</v>
      </c>
      <c r="K89" s="474">
        <f t="shared" si="28"/>
        <v>92</v>
      </c>
      <c r="L89" s="474">
        <f t="shared" si="28"/>
        <v>91</v>
      </c>
      <c r="M89" s="474">
        <f t="shared" si="28"/>
        <v>90</v>
      </c>
      <c r="N89" s="879"/>
      <c r="O89" s="879"/>
      <c r="P89" s="1770"/>
      <c r="Q89" s="438"/>
    </row>
    <row r="90" spans="1:17" s="407" customFormat="1" ht="15.75" thickTop="1">
      <c r="A90" s="483"/>
      <c r="B90" s="468" t="str">
        <f>B27</f>
        <v>楼层</v>
      </c>
      <c r="C90" s="3169" t="s">
        <v>3440</v>
      </c>
      <c r="D90" s="3169" t="s">
        <v>3441</v>
      </c>
      <c r="E90" s="3169" t="s">
        <v>3442</v>
      </c>
      <c r="F90" s="3169" t="s">
        <v>3445</v>
      </c>
      <c r="G90" s="3169"/>
      <c r="H90" s="3169"/>
      <c r="I90" s="485"/>
      <c r="J90" s="485"/>
      <c r="K90" s="485"/>
      <c r="L90" s="486"/>
      <c r="M90" s="487"/>
      <c r="N90" s="880"/>
      <c r="O90" s="880"/>
      <c r="P90" s="1771"/>
      <c r="Q90" s="489"/>
    </row>
    <row r="91" spans="1:17" s="407" customFormat="1" ht="15.75" thickBot="1">
      <c r="A91" s="483"/>
      <c r="B91" s="473"/>
      <c r="C91" s="407">
        <f>D91+$J$91</f>
        <v>104</v>
      </c>
      <c r="D91" s="407">
        <f>E91+$J$91</f>
        <v>102</v>
      </c>
      <c r="E91" s="407">
        <v>100</v>
      </c>
      <c r="F91" s="407">
        <f>E91-$J$91</f>
        <v>98</v>
      </c>
      <c r="G91" s="490"/>
      <c r="I91" s="492"/>
      <c r="J91" s="492">
        <v>2</v>
      </c>
      <c r="K91" s="492"/>
      <c r="L91" s="492"/>
      <c r="M91" s="493"/>
      <c r="N91" s="880"/>
      <c r="O91" s="880"/>
      <c r="P91" s="1771"/>
      <c r="Q91" s="489"/>
    </row>
    <row r="92" spans="1:17" ht="15.75" thickTop="1">
      <c r="A92" s="366"/>
      <c r="B92" s="468" t="str">
        <f>B28</f>
        <v>道路级别</v>
      </c>
      <c r="C92" s="3139" t="s">
        <v>3422</v>
      </c>
      <c r="D92" s="3139" t="s">
        <v>3421</v>
      </c>
      <c r="E92" s="3139" t="s">
        <v>3423</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4" t="s">
        <v>3428</v>
      </c>
      <c r="D100" s="3144" t="s">
        <v>3429</v>
      </c>
      <c r="E100" s="3144" t="s">
        <v>3419</v>
      </c>
      <c r="F100" s="3144" t="s">
        <v>3456</v>
      </c>
      <c r="G100" s="461"/>
      <c r="H100" s="461"/>
      <c r="I100" s="461"/>
      <c r="J100" s="461"/>
      <c r="K100" s="462"/>
      <c r="L100" s="463"/>
      <c r="M100" s="464"/>
      <c r="N100" s="878"/>
      <c r="O100" s="878"/>
      <c r="P100" s="1770"/>
      <c r="Q100" s="438"/>
    </row>
    <row r="101" spans="1:17" ht="15.75" thickBot="1">
      <c r="A101" s="366"/>
      <c r="B101" s="473"/>
      <c r="C101" s="474">
        <v>100</v>
      </c>
      <c r="D101" s="474">
        <f t="shared" ref="D101:M101" si="29">C101-$K32</f>
        <v>99</v>
      </c>
      <c r="E101" s="474">
        <f t="shared" si="29"/>
        <v>98</v>
      </c>
      <c r="F101" s="474">
        <f t="shared" si="29"/>
        <v>97</v>
      </c>
      <c r="G101" s="474">
        <f t="shared" si="29"/>
        <v>96</v>
      </c>
      <c r="H101" s="474">
        <f t="shared" si="29"/>
        <v>95</v>
      </c>
      <c r="I101" s="474">
        <f t="shared" si="29"/>
        <v>94</v>
      </c>
      <c r="J101" s="474">
        <f t="shared" si="29"/>
        <v>93</v>
      </c>
      <c r="K101" s="474">
        <f t="shared" si="29"/>
        <v>92</v>
      </c>
      <c r="L101" s="474">
        <f t="shared" si="29"/>
        <v>91</v>
      </c>
      <c r="M101" s="474">
        <f t="shared" si="29"/>
        <v>90</v>
      </c>
      <c r="N101" s="879"/>
      <c r="O101" s="879"/>
      <c r="P101" s="1770"/>
      <c r="Q101" s="438"/>
    </row>
    <row r="102" spans="1:17" ht="15.75" thickTop="1">
      <c r="A102" s="366"/>
      <c r="B102" s="468" t="s">
        <v>1735</v>
      </c>
      <c r="C102" s="508" t="str">
        <f>C103&amp;"(含)"&amp;"-"&amp;D103</f>
        <v>0(含)-60</v>
      </c>
      <c r="D102" s="508" t="str">
        <f t="shared" ref="D102:L102" si="30">D103&amp;"(含)"&amp;"-"&amp;E103</f>
        <v>60(含)-80</v>
      </c>
      <c r="E102" s="508" t="str">
        <f t="shared" si="30"/>
        <v>80(含)-100</v>
      </c>
      <c r="F102" s="508" t="str">
        <f t="shared" si="30"/>
        <v>100(含)-120</v>
      </c>
      <c r="G102" s="508" t="str">
        <f t="shared" si="30"/>
        <v>120(含)-140</v>
      </c>
      <c r="H102" s="508" t="str">
        <f t="shared" si="30"/>
        <v>140(含)-160</v>
      </c>
      <c r="I102" s="508" t="str">
        <f t="shared" si="30"/>
        <v>160(含)-</v>
      </c>
      <c r="J102" s="508" t="str">
        <f t="shared" si="30"/>
        <v>(含)-</v>
      </c>
      <c r="K102" s="508" t="str">
        <f>K103&amp;"(含)"&amp;"-"&amp;L103</f>
        <v>(含)-2</v>
      </c>
      <c r="L102" s="508" t="str">
        <f t="shared" si="30"/>
        <v>2(含)-</v>
      </c>
      <c r="M102" s="508" t="str">
        <f>M103&amp;"(含)"&amp;"-"&amp;P103</f>
        <v>(含)-</v>
      </c>
      <c r="N102" s="877"/>
      <c r="O102" s="877"/>
      <c r="P102" s="1770"/>
      <c r="Q102" s="438"/>
    </row>
    <row r="103" spans="1:17" s="407" customFormat="1">
      <c r="A103" s="405"/>
      <c r="B103" s="522"/>
      <c r="C103" s="6">
        <v>0</v>
      </c>
      <c r="D103" s="6">
        <v>60</v>
      </c>
      <c r="E103" s="6">
        <v>80</v>
      </c>
      <c r="F103" s="6">
        <v>100</v>
      </c>
      <c r="G103" s="6">
        <v>120</v>
      </c>
      <c r="H103" s="6">
        <v>140</v>
      </c>
      <c r="I103" s="6">
        <v>160</v>
      </c>
      <c r="J103" s="523"/>
      <c r="K103" s="523"/>
      <c r="L103" s="523">
        <v>2</v>
      </c>
      <c r="M103" s="525"/>
      <c r="N103" s="880"/>
      <c r="O103" s="880"/>
      <c r="P103" s="1771"/>
      <c r="Q103" s="489"/>
    </row>
    <row r="104" spans="1:17" s="407" customFormat="1" ht="15.75" thickBot="1">
      <c r="A104" s="483"/>
      <c r="B104" s="473"/>
      <c r="C104" s="466">
        <f t="shared" ref="C104:D104" si="31">D104+$L$103</f>
        <v>104</v>
      </c>
      <c r="D104" s="466">
        <f t="shared" si="31"/>
        <v>102</v>
      </c>
      <c r="E104" s="466">
        <v>100</v>
      </c>
      <c r="F104" s="466">
        <f>E104-$L$103</f>
        <v>98</v>
      </c>
      <c r="G104" s="466">
        <f t="shared" ref="G104:J104" si="32">F104-$L$103</f>
        <v>96</v>
      </c>
      <c r="H104" s="466">
        <f t="shared" si="32"/>
        <v>94</v>
      </c>
      <c r="I104" s="466">
        <f t="shared" si="32"/>
        <v>92</v>
      </c>
      <c r="J104" s="466">
        <f t="shared" si="32"/>
        <v>90</v>
      </c>
      <c r="K104" s="466"/>
      <c r="L104" s="466"/>
      <c r="M104" s="466"/>
      <c r="N104" s="879"/>
      <c r="O104" s="879"/>
      <c r="P104" s="1771"/>
      <c r="Q104" s="489"/>
    </row>
    <row r="105" spans="1:17" ht="15" thickTop="1">
      <c r="A105" s="408"/>
      <c r="B105" s="468" t="s">
        <v>1736</v>
      </c>
      <c r="C105" s="3139" t="s">
        <v>3401</v>
      </c>
      <c r="D105" s="3139" t="s">
        <v>3426</v>
      </c>
      <c r="E105" s="3145" t="s">
        <v>3439</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33">C106-$K34</f>
        <v>99.5</v>
      </c>
      <c r="E106" s="474">
        <f t="shared" si="33"/>
        <v>99</v>
      </c>
      <c r="F106" s="474">
        <f t="shared" si="33"/>
        <v>98.5</v>
      </c>
      <c r="G106" s="474">
        <f t="shared" si="33"/>
        <v>98</v>
      </c>
      <c r="H106" s="474">
        <f t="shared" si="33"/>
        <v>97.5</v>
      </c>
      <c r="I106" s="474">
        <f t="shared" si="33"/>
        <v>97</v>
      </c>
      <c r="J106" s="474">
        <f t="shared" si="33"/>
        <v>96.5</v>
      </c>
      <c r="K106" s="474">
        <f t="shared" si="33"/>
        <v>96</v>
      </c>
      <c r="L106" s="474">
        <f t="shared" si="33"/>
        <v>95.5</v>
      </c>
      <c r="M106" s="474">
        <f t="shared" si="33"/>
        <v>95</v>
      </c>
      <c r="N106" s="879"/>
      <c r="O106" s="879"/>
      <c r="P106" s="1770"/>
      <c r="Q106" s="438"/>
    </row>
    <row r="107" spans="1:17" ht="15" thickTop="1">
      <c r="A107" s="408"/>
      <c r="B107" s="3165" t="s">
        <v>3430</v>
      </c>
      <c r="C107" s="3160" t="s">
        <v>1719</v>
      </c>
      <c r="D107" s="3160" t="s">
        <v>1720</v>
      </c>
      <c r="E107" s="3160" t="s">
        <v>1721</v>
      </c>
      <c r="F107" s="3160" t="s">
        <v>1722</v>
      </c>
      <c r="G107" s="3160" t="s">
        <v>1723</v>
      </c>
      <c r="H107" s="512"/>
      <c r="I107" s="512"/>
      <c r="J107" s="512"/>
      <c r="K107" s="513"/>
      <c r="L107" s="514"/>
      <c r="M107" s="515"/>
      <c r="N107" s="878"/>
      <c r="O107" s="878"/>
      <c r="P107" s="1770"/>
      <c r="Q107" s="438"/>
    </row>
    <row r="108" spans="1:17" ht="15.75" thickBot="1">
      <c r="A108" s="366"/>
      <c r="B108" s="473"/>
      <c r="C108" s="474">
        <v>100</v>
      </c>
      <c r="D108" s="474">
        <f t="shared" ref="D108:M108" si="34">C108-$K35</f>
        <v>97</v>
      </c>
      <c r="E108" s="474">
        <f t="shared" si="34"/>
        <v>94</v>
      </c>
      <c r="F108" s="474">
        <f t="shared" si="34"/>
        <v>91</v>
      </c>
      <c r="G108" s="474">
        <f t="shared" si="34"/>
        <v>88</v>
      </c>
      <c r="H108" s="474">
        <f t="shared" si="34"/>
        <v>85</v>
      </c>
      <c r="I108" s="474">
        <f t="shared" si="34"/>
        <v>82</v>
      </c>
      <c r="J108" s="474">
        <f t="shared" si="34"/>
        <v>79</v>
      </c>
      <c r="K108" s="474">
        <f t="shared" si="34"/>
        <v>76</v>
      </c>
      <c r="L108" s="474">
        <f t="shared" si="34"/>
        <v>73</v>
      </c>
      <c r="M108" s="474">
        <f t="shared" si="34"/>
        <v>70</v>
      </c>
      <c r="N108" s="879"/>
      <c r="O108" s="879"/>
      <c r="P108" s="1770"/>
      <c r="Q108" s="438"/>
    </row>
    <row r="109" spans="1:17" ht="15" thickTop="1">
      <c r="A109" s="408"/>
      <c r="B109" s="468" t="s">
        <v>1737</v>
      </c>
      <c r="C109" s="3139" t="s">
        <v>3406</v>
      </c>
      <c r="D109" s="3139" t="s">
        <v>3402</v>
      </c>
      <c r="E109" s="3139" t="s">
        <v>3434</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35">C110-$K36</f>
        <v>100</v>
      </c>
      <c r="E110" s="474">
        <f t="shared" si="35"/>
        <v>100</v>
      </c>
      <c r="F110" s="474">
        <f t="shared" si="35"/>
        <v>100</v>
      </c>
      <c r="G110" s="474">
        <f t="shared" si="35"/>
        <v>100</v>
      </c>
      <c r="H110" s="474">
        <f t="shared" si="35"/>
        <v>100</v>
      </c>
      <c r="I110" s="474">
        <f t="shared" si="35"/>
        <v>100</v>
      </c>
      <c r="J110" s="474">
        <f t="shared" si="35"/>
        <v>100</v>
      </c>
      <c r="K110" s="474">
        <f t="shared" si="35"/>
        <v>100</v>
      </c>
      <c r="L110" s="474">
        <f t="shared" si="35"/>
        <v>100</v>
      </c>
      <c r="M110" s="474">
        <f t="shared" si="35"/>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0.9(含)-0(含)</v>
      </c>
      <c r="H111" s="508" t="str">
        <f>ROUND(H112,0)&amp;"(含)"&amp;"-"&amp;I112</f>
        <v>0(含)-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c r="I112" s="529"/>
      <c r="J112" s="530"/>
      <c r="K112" s="530"/>
      <c r="L112" s="531"/>
      <c r="M112" s="532"/>
      <c r="N112" s="880"/>
      <c r="O112" s="880"/>
      <c r="P112" s="1771"/>
      <c r="Q112" s="489"/>
    </row>
    <row r="113" spans="1:17" s="407" customFormat="1" ht="15.75" thickBot="1">
      <c r="A113" s="483"/>
      <c r="B113" s="473"/>
      <c r="C113" s="474">
        <f>D113-$K$37</f>
        <v>98</v>
      </c>
      <c r="D113" s="474">
        <f>E113-$K$37</f>
        <v>98.5</v>
      </c>
      <c r="E113" s="474">
        <f>F113-$K$37</f>
        <v>99</v>
      </c>
      <c r="F113" s="474">
        <f>G113-$K$37</f>
        <v>99.5</v>
      </c>
      <c r="G113" s="474">
        <v>100</v>
      </c>
      <c r="H113" s="474"/>
      <c r="I113" s="511"/>
      <c r="J113" s="533"/>
      <c r="K113" s="533"/>
      <c r="L113" s="533"/>
      <c r="M113" s="534"/>
      <c r="N113" s="880"/>
      <c r="O113" s="880"/>
      <c r="P113" s="1771"/>
      <c r="Q113" s="489"/>
    </row>
    <row r="114" spans="1:17" ht="15" thickTop="1">
      <c r="A114" s="408"/>
      <c r="B114" s="468" t="s">
        <v>1738</v>
      </c>
      <c r="C114" s="3139" t="s">
        <v>3403</v>
      </c>
      <c r="D114" s="3139" t="s">
        <v>3425</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36">C115-$K38</f>
        <v>99</v>
      </c>
      <c r="E115" s="474">
        <f t="shared" si="36"/>
        <v>98</v>
      </c>
      <c r="F115" s="474">
        <f t="shared" si="36"/>
        <v>97</v>
      </c>
      <c r="G115" s="474">
        <f t="shared" si="36"/>
        <v>96</v>
      </c>
      <c r="H115" s="474">
        <f t="shared" si="36"/>
        <v>95</v>
      </c>
      <c r="I115" s="474">
        <f t="shared" si="36"/>
        <v>94</v>
      </c>
      <c r="J115" s="474">
        <f t="shared" si="36"/>
        <v>93</v>
      </c>
      <c r="K115" s="474">
        <f t="shared" si="36"/>
        <v>92</v>
      </c>
      <c r="L115" s="474">
        <f t="shared" si="36"/>
        <v>91</v>
      </c>
      <c r="M115" s="474">
        <f t="shared" si="36"/>
        <v>90</v>
      </c>
      <c r="N115" s="879"/>
      <c r="O115" s="879"/>
      <c r="P115" s="1770"/>
      <c r="Q115" s="438"/>
    </row>
    <row r="116" spans="1:17" ht="15" thickTop="1">
      <c r="A116" s="408"/>
      <c r="B116" s="468" t="s">
        <v>1739</v>
      </c>
      <c r="C116" s="3139" t="s">
        <v>3404</v>
      </c>
      <c r="D116" s="3139" t="s">
        <v>3405</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5" t="s">
        <v>3449</v>
      </c>
      <c r="D118" s="3145" t="s">
        <v>3451</v>
      </c>
      <c r="E118" s="3145" t="s">
        <v>3453</v>
      </c>
      <c r="F118" s="3145" t="s">
        <v>3454</v>
      </c>
      <c r="G118" s="512"/>
      <c r="H118" s="512"/>
      <c r="I118" s="512"/>
      <c r="J118" s="512"/>
      <c r="K118" s="513"/>
      <c r="L118" s="514"/>
      <c r="M118" s="515"/>
      <c r="N118" s="878"/>
      <c r="O118" s="878"/>
      <c r="P118" s="1770"/>
      <c r="Q118" s="438"/>
    </row>
    <row r="119" spans="1:17" ht="15.75" thickBot="1">
      <c r="A119" s="366"/>
      <c r="B119" s="473"/>
      <c r="C119" s="474">
        <v>100</v>
      </c>
      <c r="D119" s="474">
        <f t="shared" ref="D119:M119" si="37">C119-$K40</f>
        <v>97</v>
      </c>
      <c r="E119" s="474">
        <f t="shared" si="37"/>
        <v>94</v>
      </c>
      <c r="F119" s="474">
        <f t="shared" si="37"/>
        <v>91</v>
      </c>
      <c r="G119" s="474">
        <f t="shared" si="37"/>
        <v>88</v>
      </c>
      <c r="H119" s="474">
        <f t="shared" si="37"/>
        <v>85</v>
      </c>
      <c r="I119" s="474">
        <f t="shared" si="37"/>
        <v>82</v>
      </c>
      <c r="J119" s="474">
        <f t="shared" si="37"/>
        <v>79</v>
      </c>
      <c r="K119" s="474">
        <f t="shared" si="37"/>
        <v>76</v>
      </c>
      <c r="L119" s="474">
        <f t="shared" si="37"/>
        <v>73</v>
      </c>
      <c r="M119" s="474">
        <f t="shared" si="37"/>
        <v>70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39" t="s">
        <v>3406</v>
      </c>
      <c r="D122" s="3139" t="s">
        <v>3402</v>
      </c>
      <c r="E122" s="3139" t="s">
        <v>3434</v>
      </c>
      <c r="F122" s="3145" t="s">
        <v>3470</v>
      </c>
      <c r="G122" s="512"/>
      <c r="H122" s="512"/>
      <c r="I122" s="512"/>
      <c r="J122" s="512"/>
      <c r="K122" s="513"/>
      <c r="L122" s="514"/>
      <c r="M122" s="515"/>
      <c r="N122" s="878"/>
      <c r="O122" s="878"/>
      <c r="P122" s="1770"/>
      <c r="Q122" s="438"/>
    </row>
    <row r="123" spans="1:17" ht="15.75" thickBot="1">
      <c r="A123" s="366"/>
      <c r="B123" s="473"/>
      <c r="C123" s="474">
        <v>100</v>
      </c>
      <c r="D123" s="474">
        <f t="shared" ref="D123:M123" si="38">C123-$K42</f>
        <v>98</v>
      </c>
      <c r="E123" s="474">
        <f t="shared" si="38"/>
        <v>96</v>
      </c>
      <c r="F123" s="474">
        <f t="shared" si="38"/>
        <v>94</v>
      </c>
      <c r="G123" s="474">
        <f t="shared" si="38"/>
        <v>92</v>
      </c>
      <c r="H123" s="474">
        <f t="shared" si="38"/>
        <v>90</v>
      </c>
      <c r="I123" s="474">
        <f t="shared" si="38"/>
        <v>88</v>
      </c>
      <c r="J123" s="474">
        <f t="shared" si="38"/>
        <v>86</v>
      </c>
      <c r="K123" s="474">
        <f t="shared" si="38"/>
        <v>84</v>
      </c>
      <c r="L123" s="474">
        <f t="shared" si="38"/>
        <v>82</v>
      </c>
      <c r="M123" s="474">
        <f t="shared" si="38"/>
        <v>80</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设施设备情况</v>
      </c>
      <c r="C126" s="3182" t="s">
        <v>3473</v>
      </c>
      <c r="D126" s="3182" t="s">
        <v>3474</v>
      </c>
      <c r="E126" s="3182"/>
      <c r="F126" s="508"/>
      <c r="G126" s="508"/>
      <c r="H126" s="485"/>
      <c r="I126" s="485">
        <v>0.5</v>
      </c>
      <c r="J126" s="485"/>
      <c r="K126" s="485"/>
      <c r="L126" s="486"/>
      <c r="M126" s="487"/>
      <c r="N126" s="880"/>
      <c r="O126" s="880"/>
      <c r="P126" s="1771"/>
      <c r="Q126" s="489"/>
    </row>
    <row r="127" spans="1:17" s="407" customFormat="1" ht="15.75" thickBot="1">
      <c r="A127" s="483"/>
      <c r="B127" s="473"/>
      <c r="C127" s="466">
        <v>100</v>
      </c>
      <c r="D127" s="466">
        <f>C127-$I$126</f>
        <v>99.5</v>
      </c>
      <c r="E127" s="466">
        <f>D127-$I$126</f>
        <v>99</v>
      </c>
      <c r="F127" s="466">
        <f>E127-$I$126</f>
        <v>98.5</v>
      </c>
      <c r="G127" s="490">
        <v>101</v>
      </c>
      <c r="H127" s="492"/>
      <c r="I127" s="492"/>
      <c r="J127" s="492"/>
      <c r="K127" s="492"/>
      <c r="L127" s="492"/>
      <c r="M127" s="493"/>
      <c r="N127" s="880"/>
      <c r="O127" s="880"/>
      <c r="P127" s="1771"/>
      <c r="Q127" s="489"/>
    </row>
    <row r="128" spans="1:17" ht="15" thickTop="1">
      <c r="A128" s="408"/>
      <c r="B128" s="468">
        <f>B45</f>
        <v>0</v>
      </c>
      <c r="C128" s="484">
        <v>2009</v>
      </c>
      <c r="D128" s="484">
        <v>2008</v>
      </c>
      <c r="E128" s="484">
        <v>2007</v>
      </c>
      <c r="F128" s="484">
        <v>2006</v>
      </c>
      <c r="G128" s="512">
        <v>2001</v>
      </c>
      <c r="H128" s="512"/>
      <c r="I128" s="3180">
        <f>K37</f>
        <v>0.5</v>
      </c>
      <c r="J128" s="512"/>
      <c r="K128" s="513"/>
      <c r="L128" s="514"/>
      <c r="M128" s="515"/>
      <c r="N128" s="878"/>
      <c r="O128" s="878"/>
      <c r="P128" s="1770"/>
      <c r="Q128" s="438"/>
    </row>
    <row r="129" spans="1:17" ht="15.75" thickBot="1">
      <c r="A129" s="366"/>
      <c r="B129" s="473"/>
      <c r="C129" s="490">
        <f t="shared" ref="C129:D129" si="39">D129+$I$128</f>
        <v>101.5</v>
      </c>
      <c r="D129" s="490">
        <f t="shared" si="39"/>
        <v>101</v>
      </c>
      <c r="E129" s="490">
        <f>F129+$I$128</f>
        <v>100.5</v>
      </c>
      <c r="F129" s="490">
        <v>100</v>
      </c>
      <c r="G129" s="490">
        <f t="shared" ref="G129" si="40">F129-$I$128</f>
        <v>99.5</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E52">
    <cfRule type="expression" dxfId="19" priority="11" stopIfTrue="1">
      <formula>$F$52="超过30%"</formula>
    </cfRule>
  </conditionalFormatting>
  <conditionalFormatting sqref="E53">
    <cfRule type="expression" dxfId="18" priority="9" stopIfTrue="1">
      <formula>$F$53="超过20%"</formula>
    </cfRule>
  </conditionalFormatting>
  <conditionalFormatting sqref="E54">
    <cfRule type="expression" dxfId="17" priority="8" stopIfTrue="1">
      <formula>$F$54="超过30%"</formula>
    </cfRule>
  </conditionalFormatting>
  <conditionalFormatting sqref="F7:F46 H7:H46">
    <cfRule type="cellIs" dxfId="16" priority="2" operator="notEqual">
      <formula>100</formula>
    </cfRule>
  </conditionalFormatting>
  <conditionalFormatting sqref="F52:F54 H52:H54 J52:J54">
    <cfRule type="containsText" dxfId="15" priority="12" stopIfTrue="1" operator="containsText" text="超过">
      <formula>NOT(ISERROR(SEARCH("超过",F52)))</formula>
    </cfRule>
  </conditionalFormatting>
  <conditionalFormatting sqref="G52">
    <cfRule type="expression" dxfId="14" priority="7" stopIfTrue="1">
      <formula>$H$52="超过30%"</formula>
    </cfRule>
  </conditionalFormatting>
  <conditionalFormatting sqref="G53">
    <cfRule type="expression" dxfId="13" priority="6" stopIfTrue="1">
      <formula>$H$53="超过20%"</formula>
    </cfRule>
  </conditionalFormatting>
  <conditionalFormatting sqref="G54">
    <cfRule type="expression" dxfId="12" priority="10" stopIfTrue="1">
      <formula>$H$54="超过30%"</formula>
    </cfRule>
  </conditionalFormatting>
  <conditionalFormatting sqref="I52">
    <cfRule type="expression" dxfId="11" priority="5" stopIfTrue="1">
      <formula>$J$52="超过30%"</formula>
    </cfRule>
  </conditionalFormatting>
  <conditionalFormatting sqref="I53">
    <cfRule type="expression" dxfId="10" priority="4" stopIfTrue="1">
      <formula>$J$53="超过20%"</formula>
    </cfRule>
  </conditionalFormatting>
  <conditionalFormatting sqref="I54">
    <cfRule type="expression" dxfId="9" priority="3" stopIfTrue="1">
      <formula>$J$54="超过30%"</formula>
    </cfRule>
  </conditionalFormatting>
  <conditionalFormatting sqref="J7:J46">
    <cfRule type="cellIs" dxfId="8" priority="1" operator="notEqual">
      <formula>100</formula>
    </cfRule>
  </conditionalFormatting>
  <dataValidations count="23">
    <dataValidation type="list" allowBlank="1" showInputMessage="1" showErrorMessage="1" sqref="E1" xr:uid="{10549475-9A00-4DCC-97F7-E2F06CC2CD7E}">
      <formula1>"项目模式,单套模式"</formula1>
    </dataValidation>
    <dataValidation type="list" allowBlank="1" showInputMessage="1" showErrorMessage="1" sqref="D48" xr:uid="{78287D1D-73EA-4999-8173-54EA86B13BEE}">
      <formula1>"简单平均,加权平均"</formula1>
    </dataValidation>
    <dataValidation type="list" allowBlank="1" showInputMessage="1" showErrorMessage="1" sqref="F2" xr:uid="{BDB5C8BB-681F-49A6-9098-35A15419C0C1}">
      <formula1>估价方法</formula1>
    </dataValidation>
    <dataValidation type="list" allowBlank="1" showInputMessage="1" showErrorMessage="1" sqref="C2" xr:uid="{8A7DD877-6FE7-4A63-B0B5-C22D0AB74E0E}">
      <formula1>"需扣减承租人权益,——"</formula1>
    </dataValidation>
    <dataValidation type="list" allowBlank="1" showInputMessage="1" showErrorMessage="1" sqref="F1" xr:uid="{ADB786D5-2E4B-402F-9F83-709FD249D2C2}">
      <formula1>"售价,租金"</formula1>
    </dataValidation>
    <dataValidation type="list" allowBlank="1" showInputMessage="1" showErrorMessage="1" sqref="C22 E22 G22 I22" xr:uid="{022C0A05-7348-4446-891C-CF9FABE903FA}">
      <formula1>基础设施水平</formula1>
    </dataValidation>
    <dataValidation type="list" allowBlank="1" showInputMessage="1" showErrorMessage="1" sqref="E9 G9 I9" xr:uid="{6319DEAE-1154-400A-BA11-868B67607DBD}">
      <formula1>住宅用途</formula1>
    </dataValidation>
    <dataValidation type="list" allowBlank="1" showInputMessage="1" showErrorMessage="1" sqref="D1" xr:uid="{738F3245-58B5-491A-97FB-8CD8B9241C53}">
      <formula1>项目类型</formula1>
    </dataValidation>
    <dataValidation type="list" allowBlank="1" showInputMessage="1" showErrorMessage="1" sqref="E8 G8 I8 C8" xr:uid="{34960ADB-1462-4690-BA31-2DDC927FEA17}">
      <formula1>住宅交易情况</formula1>
    </dataValidation>
    <dataValidation type="list" allowBlank="1" showInputMessage="1" showErrorMessage="1" sqref="E43 C43 G43 I43" xr:uid="{5713640B-FDC2-4787-9BA1-B2D2E6A5FEB8}">
      <formula1>内部装修维护情况</formula1>
    </dataValidation>
    <dataValidation type="list" allowBlank="1" showInputMessage="1" showErrorMessage="1" sqref="C42 E36 E42 G42 C36 I42 G36 I36" xr:uid="{47D83EA5-C522-4F53-A427-C97DCFDB4300}">
      <formula1>住宅内部装修</formula1>
    </dataValidation>
    <dataValidation type="list" allowBlank="1" showInputMessage="1" showErrorMessage="1" sqref="E40 G40 I40 C40" xr:uid="{715856D8-4A29-4EB9-8CDD-A3FE0503211F}">
      <formula1>住宅房型</formula1>
    </dataValidation>
    <dataValidation type="list" allowBlank="1" showInputMessage="1" showErrorMessage="1" sqref="E39 G39 I39 C39" xr:uid="{245642DD-130D-4752-A379-267564B09368}">
      <formula1>住宅基础设施水平</formula1>
    </dataValidation>
    <dataValidation type="list" allowBlank="1" showInputMessage="1" showErrorMessage="1" sqref="E38 G38 I38 C38" xr:uid="{080FDEFE-8141-4E17-A8C1-312F1D4D83F5}">
      <formula1>住宅物业管理</formula1>
    </dataValidation>
    <dataValidation type="list" allowBlank="1" showInputMessage="1" showErrorMessage="1" sqref="E35 G35 I35 C35" xr:uid="{C98B17EC-0B7A-44C6-895A-33DBF79F447E}">
      <formula1>住宅建筑品质</formula1>
    </dataValidation>
    <dataValidation type="list" allowBlank="1" showInputMessage="1" showErrorMessage="1" sqref="C34 G34 E34 I34" xr:uid="{7AA36D9C-093B-443F-8410-027CD08D009C}">
      <formula1>住宅建筑结构</formula1>
    </dataValidation>
    <dataValidation type="list" allowBlank="1" showInputMessage="1" showErrorMessage="1" sqref="C32 G32 E32 I32" xr:uid="{0A3CB578-545E-4F1D-BDEE-93C956585196}">
      <formula1>住宅建筑类型</formula1>
    </dataValidation>
    <dataValidation type="list" allowBlank="1" showInputMessage="1" showErrorMessage="1" sqref="E26 C26 I26 G26" xr:uid="{174DB0CF-E307-48A5-8911-A35D4ADCDA86}">
      <formula1>住宅朝向</formula1>
    </dataValidation>
    <dataValidation type="list" allowBlank="1" showInputMessage="1" showErrorMessage="1" sqref="E25 G25 I25 C25" xr:uid="{C6AB4618-C1BC-4DE7-BD72-0F906E2F29AB}">
      <formula1>住宅楼层</formula1>
    </dataValidation>
    <dataValidation type="list" allowBlank="1" showInputMessage="1" showErrorMessage="1" sqref="C20 G20 E20 I20" xr:uid="{F2ED80F4-3C82-4676-85C1-52CB846DBA39}">
      <formula1>公共配套设施</formula1>
    </dataValidation>
    <dataValidation type="list" allowBlank="1" showInputMessage="1" showErrorMessage="1" sqref="C18 G18 E18 I18" xr:uid="{E9E773F1-8F54-4F54-838F-B939652D6F97}">
      <formula1>交通便捷度</formula1>
    </dataValidation>
    <dataValidation type="list" allowBlank="1" showInputMessage="1" showErrorMessage="1" sqref="C16 G16 E16 I16" xr:uid="{7C8307FF-9DBA-4613-A57C-EF6E8B0841DE}">
      <formula1>居住社区成熟度</formula1>
    </dataValidation>
    <dataValidation type="list" allowBlank="1" showInputMessage="1" showErrorMessage="1" sqref="E24 G24 I24 C24" xr:uid="{A46D3DA7-5F5A-41EC-9289-0770CF07D1C2}">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10" zoomScale="90" zoomScaleNormal="70" zoomScaleSheetLayoutView="90" workbookViewId="0">
      <selection activeCell="F41" sqref="F4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55</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1.7975000000000001</v>
      </c>
      <c r="C2" s="1287" t="s">
        <v>879</v>
      </c>
      <c r="D2" s="1373">
        <f ca="1">C40+J29+L46</f>
        <v>17975</v>
      </c>
      <c r="E2" s="1293" t="s">
        <v>880</v>
      </c>
      <c r="F2" s="1294"/>
      <c r="G2" s="2473"/>
      <c r="H2" s="2463"/>
      <c r="I2" s="2463"/>
      <c r="J2" s="2463"/>
      <c r="K2" s="2464"/>
      <c r="L2" s="2463"/>
      <c r="M2" s="2463"/>
    </row>
    <row r="3" spans="1:37" ht="18" customHeight="1" thickBot="1">
      <c r="A3" s="1295" t="s">
        <v>881</v>
      </c>
      <c r="B3" s="1296">
        <f ca="1">IF(ISERROR(D2/F43),0,ROUND(D2/F43,0))</f>
        <v>17975</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577</v>
      </c>
      <c r="D5" s="1271" t="s">
        <v>889</v>
      </c>
      <c r="E5" s="1007"/>
      <c r="F5" s="1008"/>
      <c r="G5" s="1290"/>
      <c r="H5" s="290">
        <v>1</v>
      </c>
      <c r="I5" s="291" t="s">
        <v>888</v>
      </c>
      <c r="J5" s="1006">
        <f ca="1">J6+J10+J12</f>
        <v>381.5123558650057</v>
      </c>
      <c r="K5" s="1271" t="s">
        <v>889</v>
      </c>
      <c r="L5" s="1007"/>
      <c r="M5" s="1008"/>
    </row>
    <row r="6" spans="1:37" ht="18" customHeight="1">
      <c r="A6" s="1005" t="s">
        <v>398</v>
      </c>
      <c r="B6" s="3407" t="s">
        <v>694</v>
      </c>
      <c r="C6" s="1010">
        <f ca="1">ROUND(F6*F8*F7*(1-F9),0)</f>
        <v>576</v>
      </c>
      <c r="D6" s="146" t="s">
        <v>2103</v>
      </c>
      <c r="E6" s="293" t="s">
        <v>696</v>
      </c>
      <c r="F6" s="294">
        <f ca="1">INDIRECT("'数据-取费表'!u"&amp;$G$1)</f>
        <v>50.54</v>
      </c>
      <c r="G6" s="1290"/>
      <c r="H6" s="1005" t="s">
        <v>398</v>
      </c>
      <c r="I6" s="3407" t="s">
        <v>694</v>
      </c>
      <c r="J6" s="292">
        <f ca="1">ROUND(M6*M8*M7*(1-M9),0)</f>
        <v>0</v>
      </c>
      <c r="K6" s="1282" t="s">
        <v>2104</v>
      </c>
      <c r="L6" s="293" t="s">
        <v>696</v>
      </c>
      <c r="M6" s="294">
        <f ca="1">INDIRECT("'数据-取费表'!z"&amp;$G$1)</f>
        <v>0</v>
      </c>
    </row>
    <row r="7" spans="1:37" ht="18" customHeight="1">
      <c r="A7" s="1009"/>
      <c r="B7" s="3408"/>
      <c r="C7" s="1011"/>
      <c r="D7" s="298"/>
      <c r="E7" s="1012" t="s">
        <v>697</v>
      </c>
      <c r="F7" s="294">
        <f ca="1">IF(INDIRECT("'数据-取费表'!ah"&amp;$G$1)="",INDIRECT("'数据-取费表'!k"&amp;$G$1),INDIRECT("'数据-取费表'!ah"&amp;$G$1))</f>
        <v>1</v>
      </c>
      <c r="G7" s="1290"/>
      <c r="H7" s="295"/>
      <c r="I7" s="3408"/>
      <c r="J7" s="297"/>
      <c r="K7" s="298"/>
      <c r="L7" s="293" t="s">
        <v>697</v>
      </c>
      <c r="M7" s="294">
        <f ca="1">F7</f>
        <v>1</v>
      </c>
    </row>
    <row r="8" spans="1:37" ht="18" customHeight="1">
      <c r="A8" s="295"/>
      <c r="B8" s="3408"/>
      <c r="C8" s="297"/>
      <c r="D8" s="298"/>
      <c r="E8" s="293" t="s">
        <v>698</v>
      </c>
      <c r="F8" s="294">
        <f ca="1">INDIRECT("'数据-取费表'!ai"&amp;$G$1)</f>
        <v>12</v>
      </c>
      <c r="G8" s="1290"/>
      <c r="H8" s="295"/>
      <c r="I8" s="3408"/>
      <c r="J8" s="297"/>
      <c r="K8" s="298"/>
      <c r="L8" s="293" t="s">
        <v>698</v>
      </c>
      <c r="M8" s="294">
        <f ca="1">INDIRECT("'数据-取费表'!ai"&amp;$G$1)</f>
        <v>12</v>
      </c>
    </row>
    <row r="9" spans="1:37" ht="18" customHeight="1">
      <c r="A9" s="295"/>
      <c r="B9" s="3409"/>
      <c r="C9" s="297"/>
      <c r="D9" s="298"/>
      <c r="E9" s="293" t="s">
        <v>699</v>
      </c>
      <c r="F9" s="303">
        <f ca="1">INDIRECT("'数据-取费表'!w"&amp;$G$1)</f>
        <v>0.05</v>
      </c>
      <c r="G9" s="1290"/>
      <c r="H9" s="295"/>
      <c r="I9" s="3409"/>
      <c r="J9" s="297"/>
      <c r="K9" s="298"/>
      <c r="L9" s="304" t="s">
        <v>699</v>
      </c>
      <c r="M9" s="305">
        <f ca="1">INDIRECT("'数据-取费表'!ab"&amp;$G$1)</f>
        <v>0</v>
      </c>
    </row>
    <row r="10" spans="1:37" ht="18" customHeight="1">
      <c r="A10" s="1005" t="s">
        <v>402</v>
      </c>
      <c r="B10" s="1272" t="s">
        <v>700</v>
      </c>
      <c r="C10" s="307">
        <f ca="1">ROUND(IF(F10="押一",C6/12*F11,IF(F10="押二",C6/12*2*F11,IF(F10="押三",C6/12*3*F11,C11*F11))),0)</f>
        <v>1</v>
      </c>
      <c r="D10" s="149" t="s">
        <v>2113</v>
      </c>
      <c r="E10" s="304" t="s">
        <v>701</v>
      </c>
      <c r="F10" s="1052" t="s">
        <v>3384</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f>18/0.04*(1-1/1.04^48)</f>
        <v>381.5123558650057</v>
      </c>
      <c r="K12" s="1034"/>
      <c r="L12" s="1026"/>
      <c r="M12" s="1035"/>
    </row>
    <row r="13" spans="1:37" ht="18" customHeight="1" thickTop="1">
      <c r="A13" s="1015">
        <v>2</v>
      </c>
      <c r="B13" s="1016" t="s">
        <v>704</v>
      </c>
      <c r="C13" s="301">
        <f ca="1">ROUND(C29*F13,0)</f>
        <v>5695</v>
      </c>
      <c r="D13" s="1017" t="s">
        <v>705</v>
      </c>
      <c r="E13" s="1017" t="s">
        <v>706</v>
      </c>
      <c r="F13" s="1018">
        <f ca="1">INDIRECT("'数据-取费表'!y"&amp;$G$1)</f>
        <v>0.94</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4000</v>
      </c>
      <c r="D14" s="1255" t="s">
        <v>708</v>
      </c>
      <c r="E14" s="1253"/>
      <c r="F14" s="310"/>
      <c r="G14" s="1290"/>
      <c r="H14" s="927" t="s">
        <v>398</v>
      </c>
      <c r="I14" s="293" t="s">
        <v>709</v>
      </c>
      <c r="J14" s="21">
        <f ca="1">C29</f>
        <v>6058</v>
      </c>
      <c r="K14" s="12"/>
      <c r="L14" s="758"/>
      <c r="M14" s="759"/>
    </row>
    <row r="15" spans="1:37" s="1302" customFormat="1" ht="18" customHeight="1" thickBot="1">
      <c r="A15" s="927" t="s">
        <v>399</v>
      </c>
      <c r="B15" s="293" t="s">
        <v>710</v>
      </c>
      <c r="C15" s="21">
        <f ca="1">ROUND(C14*F15,0)</f>
        <v>120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200</v>
      </c>
      <c r="D16" s="293" t="s">
        <v>711</v>
      </c>
      <c r="E16" s="293" t="s">
        <v>712</v>
      </c>
      <c r="F16" s="313">
        <f ca="1">IF(INDIRECT("'数据-取费表'!c"&amp;$G$1)="住宅",'数据-取费表'!B34,0)</f>
        <v>0.05</v>
      </c>
      <c r="G16" s="1290"/>
      <c r="H16" s="1015" t="s">
        <v>393</v>
      </c>
      <c r="I16" s="1016" t="s">
        <v>714</v>
      </c>
      <c r="J16" s="301">
        <f ca="1">ROUND(J17+J22+J23+J24,0)</f>
        <v>65</v>
      </c>
      <c r="K16" s="1023" t="s">
        <v>715</v>
      </c>
      <c r="L16" s="1024"/>
      <c r="M16" s="1008"/>
    </row>
    <row r="17" spans="1:37" s="1302" customFormat="1" ht="18" customHeight="1">
      <c r="A17" s="927" t="s">
        <v>681</v>
      </c>
      <c r="B17" s="3195" t="s">
        <v>3514</v>
      </c>
      <c r="C17" s="21">
        <f ca="1">ROUND(F17*(F43+INDIRECT("'数据-取费表'!S"&amp;$G$1)),0)</f>
        <v>200</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60</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4580</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92</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61</v>
      </c>
      <c r="K22" s="1254" t="s">
        <v>739</v>
      </c>
      <c r="L22" s="293" t="s">
        <v>712</v>
      </c>
      <c r="M22" s="319">
        <f ca="1">INDIRECT("'数据-取费表'!Ak"&amp;$G$1)</f>
        <v>0.01</v>
      </c>
    </row>
    <row r="23" spans="1:37" s="1302" customFormat="1" ht="18" customHeight="1">
      <c r="A23" s="927" t="s">
        <v>397</v>
      </c>
      <c r="B23" s="293" t="s">
        <v>740</v>
      </c>
      <c r="C23" s="21">
        <f ca="1">IF('数据-取费表'!B22&lt;=1,ROUND(C19*F24*F23/2,0)+ROUND(C20*F24*F23/2,0),ROUND(C19*(POWER((1+F24),F23/2)-1),0)+ROUND(C20*(POWER((1+F24),F23/2)-1),0))</f>
        <v>222</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176">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4</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316.5123558650057</v>
      </c>
      <c r="K25" s="1031" t="s">
        <v>753</v>
      </c>
      <c r="L25" s="1032"/>
      <c r="M25" s="1033"/>
    </row>
    <row r="26" spans="1:37" ht="18" customHeight="1">
      <c r="A26" s="927" t="s">
        <v>397</v>
      </c>
      <c r="B26" s="293" t="s">
        <v>754</v>
      </c>
      <c r="C26" s="21">
        <f ca="1">ROUND((C19+C20)*F26,0)</f>
        <v>701</v>
      </c>
      <c r="D26" s="314" t="s">
        <v>755</v>
      </c>
      <c r="E26" s="304" t="s">
        <v>756</v>
      </c>
      <c r="F26" s="303">
        <f ca="1">INDIRECT("'数据-取费表'!q"&amp;$G$1)</f>
        <v>0.15</v>
      </c>
      <c r="G26" s="1290"/>
      <c r="H26" s="290" t="s">
        <v>395</v>
      </c>
      <c r="I26" s="291" t="s">
        <v>757</v>
      </c>
      <c r="J26" s="292">
        <f ca="1">IF(J5&lt;&gt;0,ROUND(J25*(1-((1+M28)/(1+M26))^M27)/(M26-M28),0),0)</f>
        <v>0</v>
      </c>
      <c r="K26" s="315" t="s">
        <v>758</v>
      </c>
      <c r="L26" s="293" t="s">
        <v>759</v>
      </c>
      <c r="M26" s="303">
        <f ca="1">INDIRECT("'数据-取费表'!I"&amp;$G$1)</f>
        <v>0.04</v>
      </c>
    </row>
    <row r="27" spans="1:37" ht="18" customHeight="1">
      <c r="A27" s="927" t="s">
        <v>399</v>
      </c>
      <c r="B27" s="293" t="s">
        <v>760</v>
      </c>
      <c r="C27" s="21">
        <f ca="1">ROUND(F21*F26,4)</f>
        <v>3.0000000000000001E-3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6058</v>
      </c>
      <c r="D29" s="1028"/>
      <c r="E29" s="1026"/>
      <c r="F29" s="1029"/>
      <c r="G29" s="1301"/>
      <c r="H29" s="324" t="s">
        <v>396</v>
      </c>
      <c r="I29" s="325" t="s">
        <v>768</v>
      </c>
      <c r="J29" s="326">
        <f ca="1">ROUND(J26/(1+F40)^F41,0)</f>
        <v>0</v>
      </c>
      <c r="K29" s="327" t="s">
        <v>769</v>
      </c>
      <c r="L29" s="328"/>
      <c r="M29" s="329">
        <f ca="1">INDIRECT("'数据-取费表'!k"&amp;$G$1)</f>
        <v>54242.66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87</v>
      </c>
      <c r="D30" s="1023" t="s">
        <v>715</v>
      </c>
      <c r="E30" s="1024"/>
      <c r="F30" s="1008"/>
      <c r="G30" s="1290"/>
      <c r="H30" s="2465"/>
      <c r="I30" s="1303"/>
      <c r="J30" s="1304"/>
      <c r="K30" s="120"/>
      <c r="L30" s="2466"/>
      <c r="M30" s="2467"/>
    </row>
    <row r="31" spans="1:37" ht="18" customHeight="1">
      <c r="A31" s="927" t="s">
        <v>398</v>
      </c>
      <c r="B31" s="293" t="s">
        <v>719</v>
      </c>
      <c r="C31" s="21">
        <f ca="1">ROUND(IF(AND(项目基本情况!B11="自然人",项目基本情况!B10="北京市"),C6*F31/(1+'数据-取费表'!C42),C32+C33+C34),0)</f>
        <v>14</v>
      </c>
      <c r="D31" s="1255" t="s">
        <v>720</v>
      </c>
      <c r="E31" s="1254" t="s">
        <v>770</v>
      </c>
      <c r="F31" s="3186">
        <f ca="1">IF(项目基本情况!B11="企业","——",IF(M47="住宅",IF(F6*F7*F8/12/(1+'数据-取费表'!F30)&gt;100000,4%,2.5%),IF(F6*F7*F8/12/(1+'数据-取费表'!F30)&gt;100000,12%,7%)))</f>
        <v>2.5000000000000001E-2</v>
      </c>
      <c r="G31" s="1290"/>
      <c r="H31" s="3181"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61</v>
      </c>
      <c r="D36" s="1254" t="s">
        <v>771</v>
      </c>
      <c r="E36" s="293" t="s">
        <v>712</v>
      </c>
      <c r="F36" s="319">
        <f ca="1">INDIRECT("'数据-取费表'!Ak"&amp;$G$1)</f>
        <v>0.01</v>
      </c>
      <c r="G36" s="1290"/>
      <c r="H36" s="2468"/>
      <c r="I36" s="1303"/>
      <c r="J36" s="1304"/>
      <c r="K36" s="2325"/>
      <c r="L36" s="2468"/>
      <c r="M36" s="2468"/>
    </row>
    <row r="37" spans="1:18" ht="18" customHeight="1">
      <c r="A37" s="927" t="s">
        <v>437</v>
      </c>
      <c r="B37" s="293" t="s">
        <v>742</v>
      </c>
      <c r="C37" s="21">
        <f ca="1">ROUND(C13*F37,0)</f>
        <v>6</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6</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490</v>
      </c>
      <c r="D39" s="1031" t="s">
        <v>773</v>
      </c>
      <c r="E39" s="1032"/>
      <c r="F39" s="1033"/>
      <c r="G39" s="1290"/>
      <c r="H39" s="2468"/>
      <c r="I39" s="1303"/>
      <c r="J39" s="1304"/>
      <c r="K39" s="2466"/>
      <c r="L39" s="2468"/>
      <c r="M39" s="2468"/>
    </row>
    <row r="40" spans="1:18" ht="18" customHeight="1">
      <c r="A40" s="290" t="s">
        <v>395</v>
      </c>
      <c r="B40" s="291" t="s">
        <v>774</v>
      </c>
      <c r="C40" s="292">
        <f ca="1">ROUND(C39*(1-((1+F42)/(1+F40))^F41)/(F40-F42),0)</f>
        <v>17975</v>
      </c>
      <c r="D40" s="315" t="s">
        <v>758</v>
      </c>
      <c r="E40" s="293" t="s">
        <v>759</v>
      </c>
      <c r="F40" s="3218">
        <f ca="1">INDIRECT("'数据-取费表'!I"&amp;$G$1)</f>
        <v>0.04</v>
      </c>
      <c r="G40" s="1290"/>
      <c r="H40" s="1364"/>
      <c r="I40" s="1303"/>
      <c r="J40" s="1304"/>
      <c r="K40" s="2466"/>
      <c r="L40" s="1364"/>
      <c r="M40" s="1364"/>
    </row>
    <row r="41" spans="1:18" ht="18" customHeight="1">
      <c r="A41" s="295"/>
      <c r="B41" s="296"/>
      <c r="C41" s="297"/>
      <c r="D41" s="322" t="s">
        <v>775</v>
      </c>
      <c r="E41" s="293" t="s">
        <v>763</v>
      </c>
      <c r="F41" s="3566">
        <f ca="1">IF(INDIRECT("'数据-取费表'!af"&amp;$G$1)=0,INDIRECT("'数据-取费表'!ae"&amp;$G$1),INDIRECT("'数据-取费表'!af"&amp;$G$1))</f>
        <v>55</v>
      </c>
      <c r="G41" s="1290"/>
      <c r="H41" s="120"/>
      <c r="I41" s="1303"/>
      <c r="J41" s="1304"/>
      <c r="K41" s="2325"/>
      <c r="L41" s="120"/>
      <c r="M41" s="120"/>
    </row>
    <row r="42" spans="1:18" ht="18" customHeight="1">
      <c r="A42" s="299"/>
      <c r="B42" s="300"/>
      <c r="C42" s="301"/>
      <c r="D42" s="318"/>
      <c r="E42" s="293" t="s">
        <v>766</v>
      </c>
      <c r="F42" s="3183">
        <f ca="1">INDIRECT("'数据-取费表'!v"&amp;$G$1)</f>
        <v>2.5000000000000001E-2</v>
      </c>
      <c r="G42" s="1290"/>
      <c r="H42" s="120"/>
      <c r="I42" s="1303"/>
      <c r="J42" s="1304"/>
      <c r="K42" s="2325"/>
      <c r="L42" s="120"/>
      <c r="M42" s="120"/>
    </row>
    <row r="43" spans="1:18" ht="18" customHeight="1" thickBot="1">
      <c r="A43" s="324" t="s">
        <v>396</v>
      </c>
      <c r="B43" s="325" t="s">
        <v>776</v>
      </c>
      <c r="C43" s="326">
        <f ca="1">ROUND(C40/F43,0)</f>
        <v>17975</v>
      </c>
      <c r="D43" s="327" t="s">
        <v>777</v>
      </c>
      <c r="E43" s="328" t="s">
        <v>778</v>
      </c>
      <c r="F43" s="329">
        <v>1</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-1.9456</v>
      </c>
      <c r="D45" s="3124" t="s">
        <v>3353</v>
      </c>
      <c r="E45" s="1305"/>
      <c r="F45" s="1305"/>
      <c r="O45" s="1308" t="s">
        <v>808</v>
      </c>
      <c r="P45" s="1364"/>
      <c r="Q45" s="1364"/>
      <c r="R45" s="1364"/>
    </row>
    <row r="46" spans="1:18" s="1290" customFormat="1" ht="13.5" thickBot="1">
      <c r="A46" s="1309" t="s">
        <v>809</v>
      </c>
      <c r="C46" s="1310">
        <f ca="1">ROUND(C45,0)</f>
        <v>-2</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3385</v>
      </c>
      <c r="K47" s="1321" t="s">
        <v>816</v>
      </c>
      <c r="L47" s="1322">
        <f ca="1">INDIRECT("'数据-取费表'!d"&amp;$G$1)</f>
        <v>70</v>
      </c>
      <c r="M47" s="1286" t="str">
        <f>IF(ISNUMBER(FIND("住宅",C1)),"住宅","非住宅")</f>
        <v>住宅</v>
      </c>
      <c r="O47" s="1323" t="s">
        <v>403</v>
      </c>
      <c r="P47" s="1324" t="s">
        <v>817</v>
      </c>
      <c r="Q47" s="1325">
        <f ca="1">C40+J29</f>
        <v>17975</v>
      </c>
      <c r="R47" s="1325" t="s">
        <v>818</v>
      </c>
    </row>
    <row r="48" spans="1:18" s="1290" customFormat="1" ht="28.5" thickBot="1">
      <c r="A48" s="1046" t="s">
        <v>438</v>
      </c>
      <c r="B48" s="291" t="s">
        <v>692</v>
      </c>
      <c r="C48" s="1266">
        <f ca="1">C49+C53+C55</f>
        <v>0</v>
      </c>
      <c r="D48" s="1048"/>
      <c r="E48" s="1049"/>
      <c r="F48" s="907"/>
      <c r="G48" s="680"/>
      <c r="H48" s="681"/>
      <c r="I48" s="1326" t="s">
        <v>819</v>
      </c>
      <c r="J48" s="1327" t="s">
        <v>3386</v>
      </c>
      <c r="K48" s="1328" t="s">
        <v>820</v>
      </c>
      <c r="L48" s="1329">
        <f ca="1">INDIRECT("'数据-取费表'!f"&amp;$G$1)</f>
        <v>51.88</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2019</v>
      </c>
      <c r="K49" s="1328" t="s">
        <v>824</v>
      </c>
      <c r="L49" s="1331"/>
      <c r="O49" s="1332" t="s">
        <v>405</v>
      </c>
      <c r="P49" s="1324" t="s">
        <v>825</v>
      </c>
      <c r="Q49" s="1325">
        <f ca="1">C29</f>
        <v>6058</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55</v>
      </c>
      <c r="K51" s="1337" t="s">
        <v>830</v>
      </c>
      <c r="L51" s="1338">
        <f ca="1">ROUND(-PV(INDIRECT("'数据-取费表'!h"&amp;$G$1),J51,(C39-C13*C76),0),0)</f>
        <v>5495</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55</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55</v>
      </c>
      <c r="K53" s="3405" t="s">
        <v>837</v>
      </c>
      <c r="L53" s="3406"/>
      <c r="O53" s="1323" t="s">
        <v>409</v>
      </c>
      <c r="P53" s="1324" t="s">
        <v>838</v>
      </c>
      <c r="Q53" s="1325">
        <f ca="1">Q47+Q48</f>
        <v>17975</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5695</v>
      </c>
      <c r="D56" s="1350"/>
      <c r="E56" s="1351"/>
      <c r="F56" s="1343"/>
      <c r="I56" s="1352" t="s">
        <v>842</v>
      </c>
      <c r="J56" s="1353" t="s">
        <v>3387</v>
      </c>
      <c r="K56" s="1326" t="s">
        <v>843</v>
      </c>
      <c r="L56" s="1329" t="str">
        <f ca="1">IF(L48&lt;J51,"——",L48-J51)</f>
        <v>——</v>
      </c>
      <c r="O56" s="1323" t="s">
        <v>403</v>
      </c>
      <c r="P56" s="1324" t="s">
        <v>817</v>
      </c>
      <c r="Q56" s="1325">
        <f ca="1">C40+J29</f>
        <v>17975</v>
      </c>
      <c r="R56" s="1325" t="s">
        <v>818</v>
      </c>
    </row>
    <row r="57" spans="1:18" s="1290" customFormat="1" ht="24.75" thickBot="1">
      <c r="A57" s="1354"/>
      <c r="B57" s="895" t="s">
        <v>767</v>
      </c>
      <c r="C57" s="229">
        <f ca="1">C29</f>
        <v>6058</v>
      </c>
      <c r="D57" s="1355"/>
      <c r="E57" s="1356"/>
      <c r="F57" s="1357"/>
      <c r="I57" s="1358" t="s">
        <v>844</v>
      </c>
      <c r="J57" s="1359" t="str">
        <f ca="1">IF(OR(M47="住宅",J51&lt;L48,J56="是"),"——",J51-L48)</f>
        <v>——</v>
      </c>
      <c r="K57" s="1326" t="s">
        <v>892</v>
      </c>
      <c r="L57" s="1329" t="str">
        <f ca="1">IF(L48&lt;J51,"——",IF(L55="比较法",L49,IF(L55="基准地价",L50,L51)))</f>
        <v>——</v>
      </c>
      <c r="O57" s="1323" t="s">
        <v>404</v>
      </c>
      <c r="P57" s="1324" t="s">
        <v>893</v>
      </c>
      <c r="Q57" s="1325">
        <f ca="1">L60</f>
        <v>0</v>
      </c>
      <c r="R57" s="1325" t="s">
        <v>894</v>
      </c>
    </row>
    <row r="58" spans="1:18" s="1290" customFormat="1" ht="24.75" thickBot="1">
      <c r="A58" s="306" t="s">
        <v>393</v>
      </c>
      <c r="B58" s="903" t="s">
        <v>714</v>
      </c>
      <c r="C58" s="307">
        <f ca="1">ROUND(C59+C64+C65+C66,0)</f>
        <v>67</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17975</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61</v>
      </c>
      <c r="D64" s="909" t="s">
        <v>791</v>
      </c>
      <c r="E64" s="895" t="s">
        <v>783</v>
      </c>
      <c r="F64" s="319">
        <f t="shared" ca="1" si="0"/>
        <v>0.01</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6</v>
      </c>
      <c r="D65" s="909" t="s">
        <v>743</v>
      </c>
      <c r="E65" s="895" t="s">
        <v>744</v>
      </c>
      <c r="F65" s="320">
        <f t="shared" ca="1" si="0"/>
        <v>1E-3</v>
      </c>
      <c r="I65" s="1365" t="s">
        <v>867</v>
      </c>
      <c r="J65" s="609">
        <v>40</v>
      </c>
      <c r="K65" s="609">
        <v>30</v>
      </c>
      <c r="L65" s="609">
        <v>50</v>
      </c>
      <c r="M65" s="1367">
        <v>0.02</v>
      </c>
      <c r="O65" s="1323" t="s">
        <v>403</v>
      </c>
      <c r="P65" s="1324" t="s">
        <v>868</v>
      </c>
      <c r="Q65" s="1325">
        <f ca="1">C40+J29</f>
        <v>17975</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-67</v>
      </c>
      <c r="D67" s="908" t="s">
        <v>753</v>
      </c>
      <c r="E67" s="913"/>
      <c r="F67" s="914"/>
      <c r="O67" s="1332" t="s">
        <v>405</v>
      </c>
      <c r="P67" s="1324" t="s">
        <v>850</v>
      </c>
      <c r="Q67" s="1368">
        <f ca="1">L51</f>
        <v>5495</v>
      </c>
      <c r="R67" s="1325" t="s">
        <v>870</v>
      </c>
    </row>
    <row r="68" spans="1:18" s="1290" customFormat="1" ht="16.5" thickBot="1">
      <c r="A68" s="892" t="s">
        <v>395</v>
      </c>
      <c r="B68" s="893" t="s">
        <v>774</v>
      </c>
      <c r="C68" s="292">
        <f ca="1">ROUND(C67*(1-((1+F70)/(1+F68))^F69)/(F68-F70),0)</f>
        <v>-1481</v>
      </c>
      <c r="D68" s="910" t="s">
        <v>758</v>
      </c>
      <c r="E68" s="895" t="s">
        <v>759</v>
      </c>
      <c r="F68" s="303">
        <f ca="1">F40</f>
        <v>0.04</v>
      </c>
      <c r="O68" s="1332" t="s">
        <v>406</v>
      </c>
      <c r="P68" s="1369" t="s">
        <v>871</v>
      </c>
      <c r="Q68" s="1325">
        <f ca="1">ROUND(Q69-Q70*Q71,0)</f>
        <v>205</v>
      </c>
      <c r="R68" s="1325" t="s">
        <v>414</v>
      </c>
    </row>
    <row r="69" spans="1:18" s="1290" customFormat="1" ht="13.5" thickBot="1">
      <c r="A69" s="896"/>
      <c r="B69" s="897"/>
      <c r="C69" s="297"/>
      <c r="D69" s="915" t="s">
        <v>762</v>
      </c>
      <c r="E69" s="895" t="s">
        <v>763</v>
      </c>
      <c r="F69" s="323">
        <f ca="1">F41</f>
        <v>55</v>
      </c>
      <c r="O69" s="1332" t="s">
        <v>411</v>
      </c>
      <c r="P69" s="1369" t="s">
        <v>872</v>
      </c>
      <c r="Q69" s="1325">
        <f ca="1">C39</f>
        <v>490</v>
      </c>
      <c r="R69" s="1325" t="s">
        <v>818</v>
      </c>
    </row>
    <row r="70" spans="1:18" s="1290" customFormat="1" ht="13.5" thickBot="1">
      <c r="A70" s="899"/>
      <c r="B70" s="900"/>
      <c r="C70" s="301"/>
      <c r="D70" s="911"/>
      <c r="E70" s="895" t="s">
        <v>766</v>
      </c>
      <c r="F70" s="990"/>
      <c r="O70" s="1332" t="s">
        <v>412</v>
      </c>
      <c r="P70" s="1369" t="s">
        <v>873</v>
      </c>
      <c r="Q70" s="1325">
        <f ca="1">C13</f>
        <v>5695</v>
      </c>
      <c r="R70" s="1325" t="s">
        <v>818</v>
      </c>
    </row>
    <row r="71" spans="1:18" s="1290" customFormat="1" ht="13.5" thickBot="1">
      <c r="A71" s="916" t="s">
        <v>396</v>
      </c>
      <c r="B71" s="917" t="s">
        <v>776</v>
      </c>
      <c r="C71" s="326">
        <f ca="1">ROUND(C68/F71,0)</f>
        <v>-1481</v>
      </c>
      <c r="D71" s="918" t="s">
        <v>777</v>
      </c>
      <c r="E71" s="919" t="s">
        <v>778</v>
      </c>
      <c r="F71" s="329">
        <f>F43</f>
        <v>1</v>
      </c>
      <c r="O71" s="1332" t="s">
        <v>413</v>
      </c>
      <c r="P71" s="1369" t="s">
        <v>874</v>
      </c>
      <c r="Q71" s="1335">
        <f ca="1">C76</f>
        <v>0.05</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285</v>
      </c>
      <c r="D75" s="1290"/>
      <c r="E75" s="1290"/>
      <c r="F75" s="1290"/>
      <c r="K75" s="1307"/>
      <c r="L75" s="1290"/>
      <c r="O75" s="1323" t="s">
        <v>409</v>
      </c>
      <c r="P75" s="1324" t="s">
        <v>838</v>
      </c>
      <c r="Q75" s="1325">
        <f ca="1">Q65+Q66</f>
        <v>17975</v>
      </c>
      <c r="R75" s="1325" t="s">
        <v>410</v>
      </c>
    </row>
    <row r="76" spans="1:18">
      <c r="B76" s="332" t="s">
        <v>796</v>
      </c>
      <c r="C76" s="333">
        <f ca="1">INDIRECT("'数据-取费表'!j"&amp;$G$1)</f>
        <v>0.05</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0.41800000000000004</v>
      </c>
    </row>
    <row r="80" spans="1:18">
      <c r="B80" s="330" t="s">
        <v>800</v>
      </c>
      <c r="C80" s="265">
        <f ca="1">ROUND(C75/C39,3)</f>
        <v>0.58199999999999996</v>
      </c>
    </row>
    <row r="81" spans="2:3">
      <c r="B81" s="261" t="s">
        <v>801</v>
      </c>
      <c r="C81" s="229"/>
    </row>
    <row r="82" spans="2:3">
      <c r="B82" s="264" t="s">
        <v>802</v>
      </c>
      <c r="C82" s="266">
        <f ca="1">1-C83</f>
        <v>0.68300000000000005</v>
      </c>
    </row>
    <row r="83" spans="2:3">
      <c r="B83" s="264" t="s">
        <v>803</v>
      </c>
      <c r="C83" s="265">
        <f ca="1">ROUND(C13/C40,3)</f>
        <v>0.317</v>
      </c>
    </row>
  </sheetData>
  <sheetProtection formatCells="0" formatColumns="0" formatRows="0"/>
  <mergeCells count="3">
    <mergeCell ref="B6:B9"/>
    <mergeCell ref="I6:I9"/>
    <mergeCell ref="K53:L53"/>
  </mergeCells>
  <phoneticPr fontId="138" type="noConversion"/>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45652</v>
      </c>
      <c r="D1" s="1215" t="s">
        <v>603</v>
      </c>
      <c r="E1" s="1210">
        <f>'数据-取费表'!B22</f>
        <v>2</v>
      </c>
      <c r="F1" s="1215" t="s">
        <v>604</v>
      </c>
      <c r="G1" s="1211">
        <f ca="1">INDIRECT("d"&amp;$K$1)/100</f>
        <v>3.6499999999999998E-2</v>
      </c>
      <c r="H1" s="1215" t="s">
        <v>634</v>
      </c>
      <c r="I1" s="1211">
        <f ca="1">F4/100</f>
        <v>1.4999999999999999E-2</v>
      </c>
      <c r="J1" s="1216">
        <f>IF(C1&gt;C13,0,MATCH(C1,C$13:C$109,-1))+IF(SUMIF(C13:C109,C1,D13:D109)=0,13,12)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5"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D115"/>
  <sheetViews>
    <sheetView topLeftCell="A22" zoomScale="110" zoomScaleNormal="110" workbookViewId="0">
      <selection activeCell="AD2" sqref="AD2"/>
    </sheetView>
  </sheetViews>
  <sheetFormatPr defaultRowHeight="13.5"/>
  <cols>
    <col min="1" max="1" width="9" style="3141"/>
    <col min="2" max="2" width="19.75" style="3141" customWidth="1"/>
    <col min="3" max="13" width="18.5" style="3141" customWidth="1"/>
    <col min="14" max="14" width="19.75" style="3141" customWidth="1"/>
    <col min="15" max="16" width="9" style="3141"/>
    <col min="17" max="17" width="15.5" style="3141" customWidth="1"/>
    <col min="18" max="18" width="9" style="3141"/>
    <col min="19" max="19" width="10.5" style="3141" bestFit="1" customWidth="1"/>
    <col min="20" max="20" width="9.5" style="3141" bestFit="1" customWidth="1"/>
    <col min="21" max="21" width="10.5" style="3141" bestFit="1" customWidth="1"/>
    <col min="22" max="23" width="9" style="3141"/>
    <col min="24" max="24" width="14.625" style="3141" customWidth="1"/>
    <col min="25" max="33" width="9" style="3141"/>
    <col min="34" max="34" width="10.5" style="3141" bestFit="1" customWidth="1"/>
    <col min="35" max="16384" width="9" style="3141"/>
  </cols>
  <sheetData>
    <row r="1" spans="1:30">
      <c r="B1" s="3141" t="s">
        <v>3492</v>
      </c>
      <c r="C1" s="3141" t="s">
        <v>3462</v>
      </c>
      <c r="D1" s="3141" t="s">
        <v>3463</v>
      </c>
      <c r="AD1" s="1446"/>
    </row>
    <row r="2" spans="1:30" ht="19.5" customHeight="1">
      <c r="A2" s="3141" t="s">
        <v>3493</v>
      </c>
      <c r="B2" s="3141">
        <v>26772</v>
      </c>
      <c r="C2" s="3141">
        <v>26960</v>
      </c>
      <c r="D2" s="3141">
        <v>27566</v>
      </c>
    </row>
    <row r="3" spans="1:30" ht="11.25" customHeight="1">
      <c r="A3" s="3141" t="s">
        <v>3494</v>
      </c>
      <c r="B3" s="3141">
        <v>27978</v>
      </c>
      <c r="C3" s="3141">
        <v>26626</v>
      </c>
      <c r="D3" s="3141">
        <v>27586</v>
      </c>
    </row>
    <row r="4" spans="1:30">
      <c r="A4" s="3141" t="s">
        <v>3495</v>
      </c>
      <c r="B4" s="3141">
        <v>28770</v>
      </c>
      <c r="C4" s="3141">
        <v>26786</v>
      </c>
      <c r="D4" s="3141">
        <v>27363</v>
      </c>
    </row>
    <row r="5" spans="1:30">
      <c r="A5" s="3141" t="s">
        <v>3496</v>
      </c>
      <c r="B5" s="3141">
        <v>29576</v>
      </c>
      <c r="C5" s="3141">
        <v>27659</v>
      </c>
      <c r="D5" s="3141">
        <v>27891</v>
      </c>
    </row>
    <row r="6" spans="1:30">
      <c r="A6" s="3141" t="s">
        <v>3497</v>
      </c>
      <c r="B6" s="3141">
        <v>30184</v>
      </c>
      <c r="C6" s="3141">
        <v>28993</v>
      </c>
      <c r="D6" s="3141">
        <v>28937</v>
      </c>
    </row>
    <row r="7" spans="1:30" ht="21" customHeight="1">
      <c r="A7" s="3141" t="s">
        <v>3498</v>
      </c>
      <c r="B7" s="3141">
        <v>29982</v>
      </c>
      <c r="C7" s="3141">
        <v>29027</v>
      </c>
      <c r="D7" s="3141">
        <v>29873</v>
      </c>
    </row>
    <row r="8" spans="1:30">
      <c r="A8" s="3141" t="s">
        <v>3499</v>
      </c>
      <c r="B8" s="3141">
        <v>29969</v>
      </c>
      <c r="C8" s="3141">
        <v>29249</v>
      </c>
      <c r="D8" s="3141">
        <v>30085</v>
      </c>
    </row>
    <row r="9" spans="1:30">
      <c r="A9" s="3141" t="s">
        <v>3500</v>
      </c>
      <c r="B9" s="3141">
        <v>30134</v>
      </c>
      <c r="C9" s="3141">
        <v>29620</v>
      </c>
      <c r="D9" s="3141">
        <v>30056</v>
      </c>
    </row>
    <row r="10" spans="1:30">
      <c r="A10" s="3141" t="s">
        <v>3501</v>
      </c>
      <c r="B10" s="3141">
        <v>30400</v>
      </c>
      <c r="C10" s="3141">
        <v>29803</v>
      </c>
      <c r="D10" s="3141">
        <v>30373</v>
      </c>
    </row>
    <row r="11" spans="1:30">
      <c r="A11" s="3141" t="s">
        <v>3502</v>
      </c>
      <c r="B11" s="3141">
        <v>30398</v>
      </c>
      <c r="C11" s="3141">
        <v>29717</v>
      </c>
      <c r="D11" s="3141">
        <v>31591</v>
      </c>
    </row>
    <row r="12" spans="1:30">
      <c r="A12" s="3141" t="s">
        <v>3503</v>
      </c>
      <c r="B12" s="3141">
        <v>30857</v>
      </c>
      <c r="C12" s="3141">
        <v>30117</v>
      </c>
      <c r="D12" s="3141">
        <v>31468</v>
      </c>
    </row>
    <row r="13" spans="1:30">
      <c r="A13" s="3141" t="s">
        <v>3504</v>
      </c>
      <c r="B13" s="3141">
        <v>31692</v>
      </c>
      <c r="C13" s="3141">
        <v>30311</v>
      </c>
      <c r="D13" s="3141">
        <v>30842</v>
      </c>
    </row>
    <row r="14" spans="1:30" ht="24.75" customHeight="1">
      <c r="A14" s="3193" t="s">
        <v>3505</v>
      </c>
      <c r="B14" s="3193">
        <f>ROUND(AVERAGE(B2:B13),0)</f>
        <v>29726</v>
      </c>
      <c r="C14" s="3193">
        <f t="shared" ref="C14:D14" si="0">ROUND(AVERAGE(C2:C13),0)</f>
        <v>28739</v>
      </c>
      <c r="D14" s="3193">
        <f t="shared" si="0"/>
        <v>29469</v>
      </c>
    </row>
    <row r="15" spans="1:30" ht="24.75" customHeight="1"/>
    <row r="16" spans="1:30" ht="24.75" customHeight="1"/>
    <row r="17" spans="28:28" ht="24.75" customHeight="1"/>
    <row r="18" spans="28:28" ht="24.75" customHeight="1">
      <c r="AB18" s="1446"/>
    </row>
    <row r="19" spans="28:28" ht="24.75" customHeight="1"/>
    <row r="20" spans="28:28" ht="24.75" customHeight="1"/>
    <row r="21" spans="28:28" ht="24.75" customHeight="1"/>
    <row r="22" spans="28:28" ht="24.75" customHeight="1"/>
    <row r="23" spans="28:28" ht="24.75" customHeight="1"/>
    <row r="24" spans="28:28" ht="24.75" customHeight="1"/>
    <row r="25" spans="28:28" ht="24.75" customHeight="1"/>
    <row r="26" spans="28:28" ht="24.75" customHeight="1"/>
    <row r="27" spans="28:28" ht="24.75" customHeight="1"/>
    <row r="28" spans="28:28" ht="24.75" customHeight="1"/>
    <row r="29" spans="28:28" ht="24.75" customHeight="1"/>
    <row r="30" spans="28:28" ht="24.75" customHeight="1"/>
    <row r="31" spans="28:28" ht="24.75" customHeight="1"/>
    <row r="32" spans="28:28" ht="24.75" customHeight="1"/>
    <row r="33" spans="1:15" ht="24.75" customHeight="1"/>
    <row r="34" spans="1:15" ht="24.75" customHeight="1"/>
    <row r="35" spans="1:15" ht="24.75" customHeight="1"/>
    <row r="36" spans="1:15" ht="24.75" customHeight="1"/>
    <row r="37" spans="1:15" ht="24.75" customHeight="1"/>
    <row r="39" spans="1:15">
      <c r="A39" s="3510" t="s">
        <v>3506</v>
      </c>
      <c r="B39" s="3151">
        <v>45597</v>
      </c>
      <c r="C39" s="3151">
        <v>45566</v>
      </c>
      <c r="D39" s="3151">
        <v>45536</v>
      </c>
      <c r="E39" s="3151">
        <v>45505</v>
      </c>
      <c r="F39" s="3151">
        <v>45474</v>
      </c>
      <c r="G39" s="3151">
        <v>45444</v>
      </c>
      <c r="H39" s="3151">
        <v>45413</v>
      </c>
      <c r="I39" s="3151">
        <v>45383</v>
      </c>
      <c r="J39" s="3151">
        <v>45352</v>
      </c>
      <c r="K39" s="3151">
        <v>45323</v>
      </c>
      <c r="L39" s="3151">
        <v>45292</v>
      </c>
      <c r="M39" s="3151">
        <v>45261</v>
      </c>
      <c r="N39" s="1446" t="s">
        <v>3505</v>
      </c>
    </row>
    <row r="40" spans="1:15">
      <c r="A40" s="3510"/>
      <c r="B40" s="1154" t="s">
        <v>3508</v>
      </c>
      <c r="C40" s="1154" t="s">
        <v>3508</v>
      </c>
      <c r="D40" s="1154" t="s">
        <v>3508</v>
      </c>
      <c r="E40" s="1154" t="s">
        <v>3508</v>
      </c>
      <c r="F40" s="1154" t="s">
        <v>3508</v>
      </c>
      <c r="G40" s="1154" t="s">
        <v>3508</v>
      </c>
      <c r="H40" s="1154" t="s">
        <v>3508</v>
      </c>
      <c r="I40" s="1154" t="s">
        <v>3508</v>
      </c>
      <c r="J40" s="1154" t="s">
        <v>3508</v>
      </c>
      <c r="K40" s="1154" t="s">
        <v>3508</v>
      </c>
      <c r="L40" s="1154" t="s">
        <v>3508</v>
      </c>
      <c r="M40" s="1154" t="s">
        <v>3508</v>
      </c>
    </row>
    <row r="41" spans="1:15" s="3146" customFormat="1">
      <c r="A41" s="3194" t="s">
        <v>3507</v>
      </c>
      <c r="B41" s="3194">
        <v>44.06</v>
      </c>
      <c r="C41" s="3194">
        <v>45.89</v>
      </c>
      <c r="D41" s="3194">
        <v>48.34</v>
      </c>
      <c r="E41" s="3194">
        <v>48.41</v>
      </c>
      <c r="F41" s="3194">
        <v>47.84</v>
      </c>
      <c r="G41" s="3194">
        <v>47.55</v>
      </c>
      <c r="H41" s="3194">
        <v>48.48</v>
      </c>
      <c r="I41" s="3194">
        <v>47.65</v>
      </c>
      <c r="J41" s="3194">
        <v>47.36</v>
      </c>
      <c r="K41" s="3194">
        <v>48.3</v>
      </c>
      <c r="L41" s="3194">
        <v>47.8</v>
      </c>
      <c r="M41" s="3194">
        <v>47.35</v>
      </c>
      <c r="N41" s="3146">
        <f>ROUND(AVERAGE(B41:M41),2)</f>
        <v>47.42</v>
      </c>
      <c r="O41" s="3146">
        <f>N41/N42</f>
        <v>1.3898007033997657</v>
      </c>
    </row>
    <row r="42" spans="1:15">
      <c r="A42" s="1154" t="s">
        <v>3487</v>
      </c>
      <c r="B42" s="1154">
        <v>32.4</v>
      </c>
      <c r="C42" s="1154">
        <v>31.92</v>
      </c>
      <c r="D42" s="1154">
        <v>33.07</v>
      </c>
      <c r="E42" s="1154">
        <v>32.299999999999997</v>
      </c>
      <c r="F42" s="1154">
        <v>33.11</v>
      </c>
      <c r="G42" s="1154">
        <v>35.159999999999997</v>
      </c>
      <c r="H42" s="1154">
        <v>35.85</v>
      </c>
      <c r="I42" s="1154">
        <v>33.69</v>
      </c>
      <c r="J42" s="1154">
        <v>34.5</v>
      </c>
      <c r="K42" s="1154">
        <v>35.78</v>
      </c>
      <c r="L42" s="1154">
        <v>35.94</v>
      </c>
      <c r="M42" s="1154">
        <v>35.67</v>
      </c>
      <c r="N42" s="3141">
        <f t="shared" ref="N42:N44" si="1">ROUND(AVERAGE(B42:M42),2)</f>
        <v>34.119999999999997</v>
      </c>
    </row>
    <row r="43" spans="1:15" s="3146" customFormat="1">
      <c r="A43" s="3194" t="s">
        <v>3464</v>
      </c>
      <c r="B43" s="3194">
        <v>48.25</v>
      </c>
      <c r="C43" s="3194">
        <v>59.98</v>
      </c>
      <c r="D43" s="3194">
        <v>61.48</v>
      </c>
      <c r="E43" s="3194">
        <v>49.89</v>
      </c>
      <c r="F43" s="3194">
        <v>53.41</v>
      </c>
      <c r="G43" s="3194">
        <v>53.98</v>
      </c>
      <c r="H43" s="3194">
        <v>52.5</v>
      </c>
      <c r="I43" s="3194">
        <v>51</v>
      </c>
      <c r="J43" s="3194">
        <v>52.09</v>
      </c>
      <c r="K43" s="3194">
        <v>52.69</v>
      </c>
      <c r="L43" s="3194">
        <v>51.36</v>
      </c>
      <c r="M43" s="3194">
        <v>50.7</v>
      </c>
      <c r="N43" s="3146">
        <f t="shared" si="1"/>
        <v>53.11</v>
      </c>
    </row>
    <row r="44" spans="1:15" s="3146" customFormat="1" ht="12.75" customHeight="1">
      <c r="A44" s="3194" t="s">
        <v>3509</v>
      </c>
      <c r="B44" s="3194">
        <v>41.25</v>
      </c>
      <c r="C44" s="3194">
        <v>56.27</v>
      </c>
      <c r="D44" s="3194">
        <v>60.55</v>
      </c>
      <c r="E44" s="3146">
        <v>53.68</v>
      </c>
      <c r="F44" s="3146">
        <v>60.01</v>
      </c>
      <c r="G44" s="3146">
        <v>63.75</v>
      </c>
      <c r="H44" s="3146">
        <v>59.13</v>
      </c>
      <c r="I44" s="3146">
        <v>55.37</v>
      </c>
      <c r="J44" s="3146">
        <v>59.29</v>
      </c>
      <c r="K44" s="3146">
        <v>61.27</v>
      </c>
      <c r="L44" s="3146">
        <v>59.39</v>
      </c>
      <c r="M44" s="3146">
        <v>60.7</v>
      </c>
      <c r="N44" s="3146">
        <f t="shared" si="1"/>
        <v>57.56</v>
      </c>
      <c r="O44" s="3146">
        <f>N44/N41</f>
        <v>1.2138338253901308</v>
      </c>
    </row>
    <row r="114" spans="2:11">
      <c r="B114" s="1154"/>
      <c r="C114" s="1154"/>
      <c r="D114" s="1154"/>
      <c r="E114" s="1154"/>
      <c r="F114" s="1154"/>
      <c r="G114" s="1154"/>
      <c r="H114" s="1154"/>
      <c r="I114" s="1154"/>
      <c r="J114" s="1154"/>
      <c r="K114" s="1154"/>
    </row>
    <row r="115" spans="2:11">
      <c r="B115" s="1154"/>
      <c r="C115" s="1154"/>
      <c r="D115" s="1154"/>
      <c r="E115" s="1154"/>
      <c r="F115" s="1154"/>
      <c r="G115" s="1154"/>
      <c r="H115" s="1154"/>
      <c r="I115" s="1154"/>
      <c r="J115" s="1154"/>
      <c r="K115" s="1154"/>
    </row>
  </sheetData>
  <mergeCells count="1">
    <mergeCell ref="A39:A40"/>
  </mergeCells>
  <phoneticPr fontId="13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CB607-BF44-456A-B44C-0CC9649A3FAF}">
  <sheetPr>
    <pageSetUpPr fitToPage="1"/>
  </sheetPr>
  <dimension ref="A1:AE656"/>
  <sheetViews>
    <sheetView workbookViewId="0">
      <pane ySplit="1" topLeftCell="A53" activePane="bottomLeft" state="frozen"/>
      <selection pane="bottomLeft" activeCell="M80" sqref="M80"/>
    </sheetView>
  </sheetViews>
  <sheetFormatPr defaultRowHeight="13.5"/>
  <cols>
    <col min="1" max="1" width="6.625" style="3200" customWidth="1"/>
    <col min="2" max="3" width="6.25" style="3200" customWidth="1"/>
    <col min="4" max="4" width="6.125" style="3200" customWidth="1"/>
    <col min="5" max="8" width="9" style="3200"/>
    <col min="9" max="9" width="9.375" style="3200" bestFit="1" customWidth="1"/>
    <col min="10" max="15" width="9" style="3200"/>
    <col min="16" max="16" width="14.875" style="3200" bestFit="1" customWidth="1"/>
    <col min="17" max="17" width="11.5" style="3200" bestFit="1" customWidth="1"/>
    <col min="18" max="18" width="5.125" style="3200" customWidth="1"/>
    <col min="19" max="19" width="9" style="3200"/>
    <col min="20" max="20" width="14.875" style="3200" bestFit="1" customWidth="1"/>
    <col min="21" max="21" width="11.5" style="3200" bestFit="1" customWidth="1"/>
    <col min="22" max="22" width="3.75" style="3200" customWidth="1"/>
    <col min="23" max="23" width="9" style="3200"/>
    <col min="24" max="24" width="12.625" style="3200" bestFit="1" customWidth="1"/>
    <col min="25" max="25" width="11.5" style="3200" bestFit="1" customWidth="1"/>
    <col min="26" max="26" width="15.625" style="3200" bestFit="1" customWidth="1"/>
    <col min="27" max="27" width="17.25" style="3200" customWidth="1"/>
    <col min="28" max="28" width="11.5" style="3200" bestFit="1" customWidth="1"/>
    <col min="29" max="29" width="15.625" style="3200" bestFit="1" customWidth="1"/>
    <col min="30" max="30" width="15.5" style="3200" customWidth="1"/>
    <col min="31" max="31" width="11.5" style="3200" bestFit="1" customWidth="1"/>
    <col min="32" max="32" width="15.625" style="3200" bestFit="1" customWidth="1"/>
    <col min="33" max="16384" width="9" style="3200"/>
  </cols>
  <sheetData>
    <row r="1" spans="1:31">
      <c r="A1" s="3196" t="s">
        <v>3515</v>
      </c>
      <c r="B1" s="3197" t="s">
        <v>3516</v>
      </c>
      <c r="C1" s="3196" t="s">
        <v>3517</v>
      </c>
      <c r="D1" s="3198" t="s">
        <v>3518</v>
      </c>
      <c r="E1" s="3196" t="s">
        <v>3519</v>
      </c>
      <c r="F1" s="3196" t="s">
        <v>3520</v>
      </c>
      <c r="G1" s="3197" t="s">
        <v>3521</v>
      </c>
      <c r="H1" s="3196" t="s">
        <v>3522</v>
      </c>
      <c r="I1" s="3198" t="s">
        <v>3523</v>
      </c>
      <c r="J1" s="3196" t="s">
        <v>3524</v>
      </c>
      <c r="K1" s="3199" t="s">
        <v>3525</v>
      </c>
    </row>
    <row r="2" spans="1:31">
      <c r="A2" s="3201">
        <v>1</v>
      </c>
      <c r="B2" s="3201">
        <v>4</v>
      </c>
      <c r="C2" s="3201">
        <v>1</v>
      </c>
      <c r="D2" s="3201">
        <v>2</v>
      </c>
      <c r="E2" s="3201">
        <v>201</v>
      </c>
      <c r="F2" s="3202" t="s">
        <v>3526</v>
      </c>
      <c r="G2" s="3202" t="s">
        <v>3527</v>
      </c>
      <c r="H2" s="3202" t="s">
        <v>3448</v>
      </c>
      <c r="I2" s="3203">
        <v>86.07</v>
      </c>
      <c r="J2" s="3204">
        <v>1</v>
      </c>
      <c r="K2" s="3205" t="s">
        <v>3528</v>
      </c>
      <c r="P2" s="3200" t="s">
        <v>3529</v>
      </c>
      <c r="Q2" s="3200" t="s">
        <v>3530</v>
      </c>
      <c r="T2" s="3200" t="s">
        <v>3529</v>
      </c>
      <c r="U2" s="3200" t="s">
        <v>3530</v>
      </c>
      <c r="X2" s="3200" t="s">
        <v>3529</v>
      </c>
      <c r="Y2" s="3200" t="s">
        <v>3530</v>
      </c>
      <c r="AA2" s="3200" t="s">
        <v>3529</v>
      </c>
      <c r="AB2" s="3200" t="s">
        <v>3530</v>
      </c>
      <c r="AD2" s="3200" t="s">
        <v>3529</v>
      </c>
      <c r="AE2" s="3200" t="s">
        <v>3530</v>
      </c>
    </row>
    <row r="3" spans="1:31">
      <c r="A3" s="3201">
        <v>2</v>
      </c>
      <c r="B3" s="3201">
        <v>4</v>
      </c>
      <c r="C3" s="3201">
        <v>1</v>
      </c>
      <c r="D3" s="3201">
        <v>2</v>
      </c>
      <c r="E3" s="3201">
        <v>202</v>
      </c>
      <c r="F3" s="3206" t="s">
        <v>3531</v>
      </c>
      <c r="G3" s="3202" t="s">
        <v>3527</v>
      </c>
      <c r="H3" s="3202" t="s">
        <v>3532</v>
      </c>
      <c r="I3" s="3203">
        <v>88.49</v>
      </c>
      <c r="J3" s="3204">
        <v>1</v>
      </c>
      <c r="K3" s="3205" t="s">
        <v>3533</v>
      </c>
      <c r="P3" s="3207" t="s">
        <v>3527</v>
      </c>
      <c r="Q3" s="3200">
        <v>566</v>
      </c>
      <c r="T3" s="3207" t="s">
        <v>3527</v>
      </c>
      <c r="U3" s="3200">
        <v>566</v>
      </c>
      <c r="X3" s="3207" t="s">
        <v>3527</v>
      </c>
      <c r="Y3" s="3200">
        <v>566</v>
      </c>
      <c r="AA3" s="3207" t="s">
        <v>3527</v>
      </c>
      <c r="AB3" s="3200">
        <v>566</v>
      </c>
      <c r="AD3" s="3207" t="s">
        <v>3527</v>
      </c>
      <c r="AE3" s="3200">
        <v>566</v>
      </c>
    </row>
    <row r="4" spans="1:31">
      <c r="A4" s="3201">
        <v>3</v>
      </c>
      <c r="B4" s="3201">
        <v>4</v>
      </c>
      <c r="C4" s="3201">
        <v>1</v>
      </c>
      <c r="D4" s="3201">
        <v>2</v>
      </c>
      <c r="E4" s="3201">
        <v>203</v>
      </c>
      <c r="F4" s="3206" t="s">
        <v>3534</v>
      </c>
      <c r="G4" s="3202" t="s">
        <v>3527</v>
      </c>
      <c r="H4" s="3202" t="s">
        <v>3448</v>
      </c>
      <c r="I4" s="3203">
        <v>82.51</v>
      </c>
      <c r="J4" s="3204">
        <v>1</v>
      </c>
      <c r="K4" s="3205" t="s">
        <v>3535</v>
      </c>
      <c r="P4" s="3208" t="s">
        <v>3536</v>
      </c>
      <c r="Q4" s="3200">
        <v>13</v>
      </c>
      <c r="T4" s="3208" t="s">
        <v>3536</v>
      </c>
      <c r="U4" s="3200">
        <v>13</v>
      </c>
      <c r="X4" s="3208" t="s">
        <v>3536</v>
      </c>
      <c r="Y4" s="3200">
        <v>13</v>
      </c>
      <c r="AA4" s="3208" t="s">
        <v>3536</v>
      </c>
      <c r="AB4" s="3200">
        <v>13</v>
      </c>
      <c r="AD4" s="3208" t="s">
        <v>403</v>
      </c>
      <c r="AE4" s="3200">
        <v>31</v>
      </c>
    </row>
    <row r="5" spans="1:31">
      <c r="A5" s="3201">
        <v>4</v>
      </c>
      <c r="B5" s="3201">
        <v>4</v>
      </c>
      <c r="C5" s="3201">
        <v>1</v>
      </c>
      <c r="D5" s="3201">
        <v>3</v>
      </c>
      <c r="E5" s="3201">
        <v>301</v>
      </c>
      <c r="F5" s="3206" t="s">
        <v>3526</v>
      </c>
      <c r="G5" s="3202" t="s">
        <v>3527</v>
      </c>
      <c r="H5" s="3202" t="s">
        <v>3448</v>
      </c>
      <c r="I5" s="3203">
        <v>86.07</v>
      </c>
      <c r="J5" s="3204">
        <v>1</v>
      </c>
      <c r="K5" s="3205" t="s">
        <v>3537</v>
      </c>
      <c r="P5" s="3209">
        <v>85.98</v>
      </c>
      <c r="Q5" s="3200">
        <v>5</v>
      </c>
      <c r="T5" s="3209">
        <v>85.98</v>
      </c>
      <c r="U5" s="3200">
        <v>5</v>
      </c>
      <c r="X5" s="3210" t="s">
        <v>409</v>
      </c>
      <c r="Y5" s="3200">
        <v>6</v>
      </c>
      <c r="AA5" s="3209">
        <v>85.98</v>
      </c>
      <c r="AB5" s="3200">
        <v>5</v>
      </c>
      <c r="AD5" s="3209">
        <v>85.78</v>
      </c>
      <c r="AE5" s="3200">
        <v>10</v>
      </c>
    </row>
    <row r="6" spans="1:31">
      <c r="A6" s="3201">
        <v>5</v>
      </c>
      <c r="B6" s="3201">
        <v>4</v>
      </c>
      <c r="C6" s="3201">
        <v>1</v>
      </c>
      <c r="D6" s="3201">
        <v>3</v>
      </c>
      <c r="E6" s="3201">
        <v>302</v>
      </c>
      <c r="F6" s="3206" t="s">
        <v>3531</v>
      </c>
      <c r="G6" s="3202" t="s">
        <v>3527</v>
      </c>
      <c r="H6" s="3202" t="s">
        <v>3532</v>
      </c>
      <c r="I6" s="3203">
        <v>88.49</v>
      </c>
      <c r="J6" s="3204">
        <v>1</v>
      </c>
      <c r="K6" s="3205" t="s">
        <v>3538</v>
      </c>
      <c r="P6" s="3211" t="s">
        <v>3539</v>
      </c>
      <c r="Q6" s="3200">
        <v>5</v>
      </c>
      <c r="T6" s="3211" t="s">
        <v>3539</v>
      </c>
      <c r="U6" s="3200">
        <v>5</v>
      </c>
      <c r="X6" s="3210" t="s">
        <v>3539</v>
      </c>
      <c r="Y6" s="3200">
        <v>6</v>
      </c>
      <c r="AA6" s="3209">
        <v>86.13</v>
      </c>
      <c r="AB6" s="3200">
        <v>1</v>
      </c>
      <c r="AD6" s="3209">
        <v>86.37</v>
      </c>
      <c r="AE6" s="3200">
        <v>5</v>
      </c>
    </row>
    <row r="7" spans="1:31">
      <c r="A7" s="3201">
        <v>6</v>
      </c>
      <c r="B7" s="3201">
        <v>4</v>
      </c>
      <c r="C7" s="3201">
        <v>1</v>
      </c>
      <c r="D7" s="3201">
        <v>3</v>
      </c>
      <c r="E7" s="3201">
        <v>303</v>
      </c>
      <c r="F7" s="3206" t="s">
        <v>3534</v>
      </c>
      <c r="G7" s="3202" t="s">
        <v>3527</v>
      </c>
      <c r="H7" s="3202" t="s">
        <v>3448</v>
      </c>
      <c r="I7" s="3203">
        <v>82.51</v>
      </c>
      <c r="J7" s="3204">
        <v>1</v>
      </c>
      <c r="K7" s="3205" t="s">
        <v>3540</v>
      </c>
      <c r="P7" s="3209">
        <v>86.13</v>
      </c>
      <c r="Q7" s="3200">
        <v>1</v>
      </c>
      <c r="T7" s="3209">
        <v>86.13</v>
      </c>
      <c r="U7" s="3200">
        <v>1</v>
      </c>
      <c r="X7" s="3210" t="s">
        <v>3541</v>
      </c>
      <c r="Y7" s="3200">
        <v>1</v>
      </c>
      <c r="AA7" s="3209">
        <v>88.02</v>
      </c>
      <c r="AB7" s="3200">
        <v>6</v>
      </c>
      <c r="AD7" s="3209">
        <v>88.65</v>
      </c>
      <c r="AE7" s="3200">
        <v>6</v>
      </c>
    </row>
    <row r="8" spans="1:31">
      <c r="A8" s="3201">
        <v>7</v>
      </c>
      <c r="B8" s="3201">
        <v>4</v>
      </c>
      <c r="C8" s="3201">
        <v>1</v>
      </c>
      <c r="D8" s="3201">
        <v>4</v>
      </c>
      <c r="E8" s="3201">
        <v>401</v>
      </c>
      <c r="F8" s="3202" t="s">
        <v>3526</v>
      </c>
      <c r="G8" s="3202" t="s">
        <v>3527</v>
      </c>
      <c r="H8" s="3202" t="s">
        <v>3448</v>
      </c>
      <c r="I8" s="3203">
        <v>86.07</v>
      </c>
      <c r="J8" s="3204">
        <v>1</v>
      </c>
      <c r="K8" s="3205" t="s">
        <v>3542</v>
      </c>
      <c r="P8" s="3211" t="s">
        <v>3539</v>
      </c>
      <c r="Q8" s="3200">
        <v>1</v>
      </c>
      <c r="T8" s="3211" t="s">
        <v>3539</v>
      </c>
      <c r="U8" s="3200">
        <v>1</v>
      </c>
      <c r="X8" s="3208" t="s">
        <v>3543</v>
      </c>
      <c r="Y8" s="3200">
        <v>5</v>
      </c>
      <c r="AA8" s="3209">
        <v>89.16</v>
      </c>
      <c r="AB8" s="3200">
        <v>1</v>
      </c>
      <c r="AD8" s="3209">
        <v>88.67</v>
      </c>
      <c r="AE8" s="3200">
        <v>10</v>
      </c>
    </row>
    <row r="9" spans="1:31">
      <c r="A9" s="3201">
        <v>8</v>
      </c>
      <c r="B9" s="3201">
        <v>4</v>
      </c>
      <c r="C9" s="3201">
        <v>1</v>
      </c>
      <c r="D9" s="3201">
        <v>4</v>
      </c>
      <c r="E9" s="3201">
        <v>402</v>
      </c>
      <c r="F9" s="3206" t="s">
        <v>3531</v>
      </c>
      <c r="G9" s="3202" t="s">
        <v>3527</v>
      </c>
      <c r="H9" s="3202" t="s">
        <v>3532</v>
      </c>
      <c r="I9" s="3203">
        <v>88.49</v>
      </c>
      <c r="J9" s="3204">
        <v>1</v>
      </c>
      <c r="K9" s="3205" t="s">
        <v>3544</v>
      </c>
      <c r="P9" s="3209">
        <v>88.02</v>
      </c>
      <c r="Q9" s="3200">
        <v>6</v>
      </c>
      <c r="T9" s="3209">
        <v>88.02</v>
      </c>
      <c r="U9" s="3200">
        <v>6</v>
      </c>
      <c r="X9" s="3210" t="s">
        <v>3545</v>
      </c>
      <c r="Y9" s="3200">
        <v>5</v>
      </c>
      <c r="AA9" s="3208" t="s">
        <v>3543</v>
      </c>
      <c r="AB9" s="3200">
        <v>5</v>
      </c>
      <c r="AD9" s="3208" t="s">
        <v>3534</v>
      </c>
      <c r="AE9" s="3200">
        <v>30</v>
      </c>
    </row>
    <row r="10" spans="1:31">
      <c r="A10" s="3201">
        <v>9</v>
      </c>
      <c r="B10" s="3201">
        <v>4</v>
      </c>
      <c r="C10" s="3201">
        <v>1</v>
      </c>
      <c r="D10" s="3201">
        <v>4</v>
      </c>
      <c r="E10" s="3201">
        <v>403</v>
      </c>
      <c r="F10" s="3206" t="s">
        <v>3534</v>
      </c>
      <c r="G10" s="3202" t="s">
        <v>3527</v>
      </c>
      <c r="H10" s="3202" t="s">
        <v>3448</v>
      </c>
      <c r="I10" s="3203">
        <v>82.51</v>
      </c>
      <c r="J10" s="3204">
        <v>1</v>
      </c>
      <c r="K10" s="3205" t="s">
        <v>3546</v>
      </c>
      <c r="P10" s="3211" t="s">
        <v>409</v>
      </c>
      <c r="Q10" s="3200">
        <v>6</v>
      </c>
      <c r="T10" s="3211" t="s">
        <v>409</v>
      </c>
      <c r="U10" s="3200">
        <v>6</v>
      </c>
      <c r="X10" s="3208" t="s">
        <v>3547</v>
      </c>
      <c r="Y10" s="3200">
        <v>48</v>
      </c>
      <c r="AA10" s="3209">
        <v>68.400000000000006</v>
      </c>
      <c r="AB10" s="3200">
        <v>5</v>
      </c>
      <c r="AD10" s="3209">
        <v>82.26</v>
      </c>
      <c r="AE10" s="3200">
        <v>10</v>
      </c>
    </row>
    <row r="11" spans="1:31">
      <c r="A11" s="3201">
        <v>10</v>
      </c>
      <c r="B11" s="3201">
        <v>4</v>
      </c>
      <c r="C11" s="3201">
        <v>1</v>
      </c>
      <c r="D11" s="3201">
        <v>5</v>
      </c>
      <c r="E11" s="3201">
        <v>501</v>
      </c>
      <c r="F11" s="3206" t="s">
        <v>3526</v>
      </c>
      <c r="G11" s="3202" t="s">
        <v>3527</v>
      </c>
      <c r="H11" s="3202" t="s">
        <v>3448</v>
      </c>
      <c r="I11" s="3203">
        <v>86.07</v>
      </c>
      <c r="J11" s="3204">
        <v>1</v>
      </c>
      <c r="K11" s="3205" t="s">
        <v>3548</v>
      </c>
      <c r="P11" s="3209">
        <v>89.16</v>
      </c>
      <c r="Q11" s="3200">
        <v>1</v>
      </c>
      <c r="T11" s="3209">
        <v>89.16</v>
      </c>
      <c r="U11" s="3200">
        <v>1</v>
      </c>
      <c r="X11" s="3210" t="s">
        <v>113</v>
      </c>
      <c r="Y11" s="3200">
        <v>5</v>
      </c>
      <c r="AA11" s="3208" t="s">
        <v>3547</v>
      </c>
      <c r="AB11" s="3200">
        <v>48</v>
      </c>
      <c r="AD11" s="3209">
        <v>82.48</v>
      </c>
      <c r="AE11" s="3200">
        <v>10</v>
      </c>
    </row>
    <row r="12" spans="1:31">
      <c r="A12" s="3201">
        <v>11</v>
      </c>
      <c r="B12" s="3201">
        <v>4</v>
      </c>
      <c r="C12" s="3201">
        <v>1</v>
      </c>
      <c r="D12" s="3201">
        <v>5</v>
      </c>
      <c r="E12" s="3201">
        <v>502</v>
      </c>
      <c r="F12" s="3206" t="s">
        <v>3531</v>
      </c>
      <c r="G12" s="3202" t="s">
        <v>3527</v>
      </c>
      <c r="H12" s="3202" t="s">
        <v>3532</v>
      </c>
      <c r="I12" s="3203">
        <v>88.49</v>
      </c>
      <c r="J12" s="3204">
        <v>1</v>
      </c>
      <c r="K12" s="3205" t="s">
        <v>3549</v>
      </c>
      <c r="P12" s="3211" t="s">
        <v>3541</v>
      </c>
      <c r="Q12" s="3200">
        <v>1</v>
      </c>
      <c r="T12" s="3211" t="s">
        <v>3541</v>
      </c>
      <c r="U12" s="3200">
        <v>1</v>
      </c>
      <c r="X12" s="3210" t="s">
        <v>3550</v>
      </c>
      <c r="Y12" s="3200">
        <v>6</v>
      </c>
      <c r="AA12" s="3209">
        <v>79.52</v>
      </c>
      <c r="AB12" s="3200">
        <v>5</v>
      </c>
      <c r="AD12" s="3209">
        <v>82.51</v>
      </c>
      <c r="AE12" s="3200">
        <v>10</v>
      </c>
    </row>
    <row r="13" spans="1:31">
      <c r="A13" s="3201">
        <v>12</v>
      </c>
      <c r="B13" s="3201">
        <v>4</v>
      </c>
      <c r="C13" s="3201">
        <v>1</v>
      </c>
      <c r="D13" s="3201">
        <v>5</v>
      </c>
      <c r="E13" s="3201">
        <v>503</v>
      </c>
      <c r="F13" s="3206" t="s">
        <v>3534</v>
      </c>
      <c r="G13" s="3202" t="s">
        <v>3527</v>
      </c>
      <c r="H13" s="3202" t="s">
        <v>3448</v>
      </c>
      <c r="I13" s="3203">
        <v>82.51</v>
      </c>
      <c r="J13" s="3204">
        <v>1</v>
      </c>
      <c r="K13" s="3205" t="s">
        <v>3551</v>
      </c>
      <c r="P13" s="3208" t="s">
        <v>3543</v>
      </c>
      <c r="Q13" s="3200">
        <v>5</v>
      </c>
      <c r="T13" s="3208" t="s">
        <v>3543</v>
      </c>
      <c r="U13" s="3200">
        <v>5</v>
      </c>
      <c r="X13" s="3210" t="s">
        <v>404</v>
      </c>
      <c r="Y13" s="3200">
        <v>11</v>
      </c>
      <c r="AA13" s="3209">
        <v>85.02</v>
      </c>
      <c r="AB13" s="3200">
        <v>12</v>
      </c>
      <c r="AD13" s="3208" t="s">
        <v>3552</v>
      </c>
      <c r="AE13" s="3200">
        <v>20</v>
      </c>
    </row>
    <row r="14" spans="1:31">
      <c r="A14" s="3201">
        <v>13</v>
      </c>
      <c r="B14" s="3201">
        <v>4</v>
      </c>
      <c r="C14" s="3201">
        <v>1</v>
      </c>
      <c r="D14" s="3201">
        <v>6</v>
      </c>
      <c r="E14" s="3201">
        <v>601</v>
      </c>
      <c r="F14" s="3202" t="s">
        <v>3526</v>
      </c>
      <c r="G14" s="3202" t="s">
        <v>3527</v>
      </c>
      <c r="H14" s="3202" t="s">
        <v>3448</v>
      </c>
      <c r="I14" s="3203">
        <v>86.07</v>
      </c>
      <c r="J14" s="3204">
        <v>1</v>
      </c>
      <c r="K14" s="3205" t="s">
        <v>3553</v>
      </c>
      <c r="P14" s="3209">
        <v>68.400000000000006</v>
      </c>
      <c r="Q14" s="3200">
        <v>5</v>
      </c>
      <c r="T14" s="3209">
        <v>68.400000000000006</v>
      </c>
      <c r="U14" s="3200">
        <v>5</v>
      </c>
      <c r="X14" s="3210" t="s">
        <v>3554</v>
      </c>
      <c r="Y14" s="3200">
        <v>16</v>
      </c>
      <c r="AA14" s="3209">
        <v>85.14</v>
      </c>
      <c r="AB14" s="3200">
        <v>10</v>
      </c>
      <c r="AD14" s="3209">
        <v>82.26</v>
      </c>
      <c r="AE14" s="3200">
        <v>5</v>
      </c>
    </row>
    <row r="15" spans="1:31">
      <c r="A15" s="3201">
        <v>14</v>
      </c>
      <c r="B15" s="3201">
        <v>4</v>
      </c>
      <c r="C15" s="3201">
        <v>1</v>
      </c>
      <c r="D15" s="3201">
        <v>6</v>
      </c>
      <c r="E15" s="3201">
        <v>602</v>
      </c>
      <c r="F15" s="3206" t="s">
        <v>3531</v>
      </c>
      <c r="G15" s="3202" t="s">
        <v>3527</v>
      </c>
      <c r="H15" s="3202" t="s">
        <v>3532</v>
      </c>
      <c r="I15" s="3203">
        <v>88.49</v>
      </c>
      <c r="J15" s="3204">
        <v>1</v>
      </c>
      <c r="K15" s="3205" t="s">
        <v>3555</v>
      </c>
      <c r="P15" s="3211" t="s">
        <v>3545</v>
      </c>
      <c r="Q15" s="3200">
        <v>5</v>
      </c>
      <c r="T15" s="3211" t="s">
        <v>3545</v>
      </c>
      <c r="U15" s="3200">
        <v>5</v>
      </c>
      <c r="X15" s="3210" t="s">
        <v>3556</v>
      </c>
      <c r="Y15" s="3200">
        <v>5</v>
      </c>
      <c r="AA15" s="3209">
        <v>85.22</v>
      </c>
      <c r="AB15" s="3200">
        <v>5</v>
      </c>
      <c r="AD15" s="3209">
        <v>82.48</v>
      </c>
      <c r="AE15" s="3200">
        <v>10</v>
      </c>
    </row>
    <row r="16" spans="1:31">
      <c r="A16" s="3201">
        <v>15</v>
      </c>
      <c r="B16" s="3201">
        <v>4</v>
      </c>
      <c r="C16" s="3201">
        <v>1</v>
      </c>
      <c r="D16" s="3201">
        <v>6</v>
      </c>
      <c r="E16" s="3201">
        <v>603</v>
      </c>
      <c r="F16" s="3206" t="s">
        <v>3534</v>
      </c>
      <c r="G16" s="3202" t="s">
        <v>3527</v>
      </c>
      <c r="H16" s="3202" t="s">
        <v>3448</v>
      </c>
      <c r="I16" s="3203">
        <v>82.51</v>
      </c>
      <c r="J16" s="3204">
        <v>1</v>
      </c>
      <c r="K16" s="3205" t="s">
        <v>3557</v>
      </c>
      <c r="P16" s="3208" t="s">
        <v>3547</v>
      </c>
      <c r="Q16" s="3200">
        <v>48</v>
      </c>
      <c r="T16" s="3208" t="s">
        <v>3547</v>
      </c>
      <c r="U16" s="3200">
        <v>48</v>
      </c>
      <c r="X16" s="3210" t="s">
        <v>3558</v>
      </c>
      <c r="Y16" s="3200">
        <v>5</v>
      </c>
      <c r="AA16" s="3209">
        <v>87.06</v>
      </c>
      <c r="AB16" s="3200">
        <v>1</v>
      </c>
      <c r="AD16" s="3209">
        <v>82.51</v>
      </c>
      <c r="AE16" s="3200">
        <v>5</v>
      </c>
    </row>
    <row r="17" spans="1:31">
      <c r="A17" s="3201">
        <v>16</v>
      </c>
      <c r="B17" s="3201">
        <v>4</v>
      </c>
      <c r="C17" s="3201">
        <v>2</v>
      </c>
      <c r="D17" s="3201">
        <v>2</v>
      </c>
      <c r="E17" s="3201">
        <v>201</v>
      </c>
      <c r="F17" s="3206" t="s">
        <v>3552</v>
      </c>
      <c r="G17" s="3202" t="s">
        <v>3527</v>
      </c>
      <c r="H17" s="3202" t="s">
        <v>3448</v>
      </c>
      <c r="I17" s="3203">
        <v>82.51</v>
      </c>
      <c r="J17" s="3204">
        <v>1</v>
      </c>
      <c r="K17" s="3205" t="s">
        <v>3559</v>
      </c>
      <c r="P17" s="3209">
        <v>79.52</v>
      </c>
      <c r="Q17" s="3200">
        <v>5</v>
      </c>
      <c r="T17" s="3209">
        <v>79.52</v>
      </c>
      <c r="U17" s="3200">
        <v>5</v>
      </c>
      <c r="X17" s="3208" t="s">
        <v>3532</v>
      </c>
      <c r="Y17" s="3200">
        <v>158</v>
      </c>
      <c r="AA17" s="3209">
        <v>87.11</v>
      </c>
      <c r="AB17" s="3200">
        <v>5</v>
      </c>
      <c r="AD17" s="3208" t="s">
        <v>113</v>
      </c>
      <c r="AE17" s="3200">
        <v>5</v>
      </c>
    </row>
    <row r="18" spans="1:31">
      <c r="A18" s="3201">
        <v>17</v>
      </c>
      <c r="B18" s="3201">
        <v>4</v>
      </c>
      <c r="C18" s="3201">
        <v>2</v>
      </c>
      <c r="D18" s="3201">
        <v>2</v>
      </c>
      <c r="E18" s="3201">
        <v>202</v>
      </c>
      <c r="F18" s="3206" t="s">
        <v>3560</v>
      </c>
      <c r="G18" s="3202" t="s">
        <v>3527</v>
      </c>
      <c r="H18" s="3202" t="s">
        <v>3532</v>
      </c>
      <c r="I18" s="3203">
        <v>88.49</v>
      </c>
      <c r="J18" s="3204">
        <v>1</v>
      </c>
      <c r="K18" s="3205" t="s">
        <v>3561</v>
      </c>
      <c r="P18" s="3211" t="s">
        <v>3556</v>
      </c>
      <c r="Q18" s="3200">
        <v>5</v>
      </c>
      <c r="T18" s="3211" t="s">
        <v>3556</v>
      </c>
      <c r="U18" s="3200">
        <v>5</v>
      </c>
      <c r="X18" s="3210" t="s">
        <v>409</v>
      </c>
      <c r="Y18" s="3200">
        <v>33</v>
      </c>
      <c r="AA18" s="3209">
        <v>88.84</v>
      </c>
      <c r="AB18" s="3200">
        <v>5</v>
      </c>
      <c r="AD18" s="3209">
        <v>88.84</v>
      </c>
      <c r="AE18" s="3200">
        <v>5</v>
      </c>
    </row>
    <row r="19" spans="1:31">
      <c r="A19" s="3201">
        <v>18</v>
      </c>
      <c r="B19" s="3201">
        <v>4</v>
      </c>
      <c r="C19" s="3201">
        <v>2</v>
      </c>
      <c r="D19" s="3201">
        <v>2</v>
      </c>
      <c r="E19" s="3201">
        <v>203</v>
      </c>
      <c r="F19" s="3206" t="s">
        <v>3562</v>
      </c>
      <c r="G19" s="3202" t="s">
        <v>3527</v>
      </c>
      <c r="H19" s="3202" t="s">
        <v>3448</v>
      </c>
      <c r="I19" s="3203">
        <v>85.3</v>
      </c>
      <c r="J19" s="3204">
        <v>1</v>
      </c>
      <c r="K19" s="3205" t="s">
        <v>3563</v>
      </c>
      <c r="P19" s="3209">
        <v>85.02</v>
      </c>
      <c r="Q19" s="3200">
        <v>12</v>
      </c>
      <c r="T19" s="3209">
        <v>85.02</v>
      </c>
      <c r="U19" s="3200">
        <v>12</v>
      </c>
      <c r="X19" s="3210" t="s">
        <v>3531</v>
      </c>
      <c r="Y19" s="3200">
        <v>30</v>
      </c>
      <c r="AA19" s="3209">
        <v>89.6</v>
      </c>
      <c r="AB19" s="3200">
        <v>5</v>
      </c>
      <c r="AD19" s="3208" t="s">
        <v>3550</v>
      </c>
      <c r="AE19" s="3200">
        <v>6</v>
      </c>
    </row>
    <row r="20" spans="1:31">
      <c r="A20" s="3201">
        <v>19</v>
      </c>
      <c r="B20" s="3201">
        <v>4</v>
      </c>
      <c r="C20" s="3201">
        <v>2</v>
      </c>
      <c r="D20" s="3201">
        <v>3</v>
      </c>
      <c r="E20" s="3201">
        <v>301</v>
      </c>
      <c r="F20" s="3202" t="s">
        <v>3552</v>
      </c>
      <c r="G20" s="3202" t="s">
        <v>3527</v>
      </c>
      <c r="H20" s="3202" t="s">
        <v>3448</v>
      </c>
      <c r="I20" s="3203">
        <v>82.51</v>
      </c>
      <c r="J20" s="3204">
        <v>1</v>
      </c>
      <c r="K20" s="3205" t="s">
        <v>3564</v>
      </c>
      <c r="P20" s="3211" t="s">
        <v>404</v>
      </c>
      <c r="Q20" s="3200">
        <v>6</v>
      </c>
      <c r="T20" s="3211" t="s">
        <v>404</v>
      </c>
      <c r="U20" s="3200">
        <v>6</v>
      </c>
      <c r="X20" s="3210" t="s">
        <v>3560</v>
      </c>
      <c r="Y20" s="3200">
        <v>20</v>
      </c>
      <c r="AA20" s="3208" t="s">
        <v>3532</v>
      </c>
      <c r="AB20" s="3200">
        <v>158</v>
      </c>
      <c r="AD20" s="3209">
        <v>87.06</v>
      </c>
      <c r="AE20" s="3200">
        <v>1</v>
      </c>
    </row>
    <row r="21" spans="1:31">
      <c r="A21" s="3201">
        <v>20</v>
      </c>
      <c r="B21" s="3201">
        <v>4</v>
      </c>
      <c r="C21" s="3201">
        <v>2</v>
      </c>
      <c r="D21" s="3201">
        <v>3</v>
      </c>
      <c r="E21" s="3201">
        <v>302</v>
      </c>
      <c r="F21" s="3206" t="s">
        <v>3560</v>
      </c>
      <c r="G21" s="3202" t="s">
        <v>3527</v>
      </c>
      <c r="H21" s="3202" t="s">
        <v>3532</v>
      </c>
      <c r="I21" s="3203">
        <v>88.49</v>
      </c>
      <c r="J21" s="3204">
        <v>1</v>
      </c>
      <c r="K21" s="3205" t="s">
        <v>3565</v>
      </c>
      <c r="P21" s="3211" t="s">
        <v>3554</v>
      </c>
      <c r="Q21" s="3200">
        <v>6</v>
      </c>
      <c r="T21" s="3211" t="s">
        <v>3554</v>
      </c>
      <c r="U21" s="3200">
        <v>6</v>
      </c>
      <c r="X21" s="3210" t="s">
        <v>3539</v>
      </c>
      <c r="Y21" s="3200">
        <v>55</v>
      </c>
      <c r="AA21" s="3209">
        <v>85.39</v>
      </c>
      <c r="AB21" s="3200">
        <v>30</v>
      </c>
      <c r="AD21" s="3209">
        <v>87.11</v>
      </c>
      <c r="AE21" s="3200">
        <v>5</v>
      </c>
    </row>
    <row r="22" spans="1:31">
      <c r="A22" s="3201">
        <v>21</v>
      </c>
      <c r="B22" s="3201">
        <v>4</v>
      </c>
      <c r="C22" s="3201">
        <v>2</v>
      </c>
      <c r="D22" s="3201">
        <v>3</v>
      </c>
      <c r="E22" s="3201">
        <v>303</v>
      </c>
      <c r="F22" s="3206" t="s">
        <v>3562</v>
      </c>
      <c r="G22" s="3202" t="s">
        <v>3527</v>
      </c>
      <c r="H22" s="3202" t="s">
        <v>3448</v>
      </c>
      <c r="I22" s="3203">
        <v>85.3</v>
      </c>
      <c r="J22" s="3204">
        <v>1</v>
      </c>
      <c r="K22" s="3205" t="s">
        <v>3566</v>
      </c>
      <c r="P22" s="3209">
        <v>85.14</v>
      </c>
      <c r="Q22" s="3200">
        <v>10</v>
      </c>
      <c r="T22" s="3209">
        <v>85.14</v>
      </c>
      <c r="U22" s="3200">
        <v>10</v>
      </c>
      <c r="X22" s="3210" t="s">
        <v>3567</v>
      </c>
      <c r="Y22" s="3200">
        <v>5</v>
      </c>
      <c r="AA22" s="3209">
        <v>85.98</v>
      </c>
      <c r="AB22" s="3200">
        <v>18</v>
      </c>
      <c r="AD22" s="3208" t="s">
        <v>3568</v>
      </c>
      <c r="AE22" s="3200">
        <v>45</v>
      </c>
    </row>
    <row r="23" spans="1:31">
      <c r="A23" s="3204">
        <v>22</v>
      </c>
      <c r="B23" s="3204">
        <v>4</v>
      </c>
      <c r="C23" s="3204">
        <v>2</v>
      </c>
      <c r="D23" s="3204">
        <v>4</v>
      </c>
      <c r="E23" s="3204">
        <v>401</v>
      </c>
      <c r="F23" s="3206" t="s">
        <v>3552</v>
      </c>
      <c r="G23" s="3202" t="s">
        <v>3527</v>
      </c>
      <c r="H23" s="3202" t="s">
        <v>3448</v>
      </c>
      <c r="I23" s="3203">
        <v>82.51</v>
      </c>
      <c r="J23" s="3204">
        <v>1</v>
      </c>
      <c r="P23" s="3211" t="s">
        <v>404</v>
      </c>
      <c r="Q23" s="3200">
        <v>5</v>
      </c>
      <c r="T23" s="3211" t="s">
        <v>404</v>
      </c>
      <c r="U23" s="3200">
        <v>5</v>
      </c>
      <c r="X23" s="3210" t="s">
        <v>3569</v>
      </c>
      <c r="Y23" s="3200">
        <v>15</v>
      </c>
      <c r="AA23" s="3209">
        <v>88.02</v>
      </c>
      <c r="AB23" s="3200">
        <v>5</v>
      </c>
      <c r="AD23" s="3209">
        <v>85.78</v>
      </c>
      <c r="AE23" s="3200">
        <v>10</v>
      </c>
    </row>
    <row r="24" spans="1:31">
      <c r="A24" s="3204">
        <v>23</v>
      </c>
      <c r="B24" s="3204">
        <v>4</v>
      </c>
      <c r="C24" s="3204">
        <v>2</v>
      </c>
      <c r="D24" s="3204">
        <v>4</v>
      </c>
      <c r="E24" s="3204">
        <v>402</v>
      </c>
      <c r="F24" s="3206" t="s">
        <v>3560</v>
      </c>
      <c r="G24" s="3202" t="s">
        <v>3527</v>
      </c>
      <c r="H24" s="3202" t="s">
        <v>3532</v>
      </c>
      <c r="I24" s="3203">
        <v>88.49</v>
      </c>
      <c r="J24" s="3204">
        <v>1</v>
      </c>
      <c r="P24" s="3211" t="s">
        <v>3554</v>
      </c>
      <c r="Q24" s="3200">
        <v>5</v>
      </c>
      <c r="T24" s="3211" t="s">
        <v>3554</v>
      </c>
      <c r="U24" s="3200">
        <v>5</v>
      </c>
      <c r="X24" s="3208" t="s">
        <v>3448</v>
      </c>
      <c r="Y24" s="3200">
        <v>311</v>
      </c>
      <c r="AA24" s="3209">
        <v>88.14</v>
      </c>
      <c r="AB24" s="3200">
        <v>5</v>
      </c>
      <c r="AD24" s="3209">
        <v>86.37</v>
      </c>
      <c r="AE24" s="3200">
        <v>10</v>
      </c>
    </row>
    <row r="25" spans="1:31">
      <c r="A25" s="3204">
        <v>24</v>
      </c>
      <c r="B25" s="3204">
        <v>4</v>
      </c>
      <c r="C25" s="3204">
        <v>2</v>
      </c>
      <c r="D25" s="3204">
        <v>4</v>
      </c>
      <c r="E25" s="3204">
        <v>403</v>
      </c>
      <c r="F25" s="3206" t="s">
        <v>3562</v>
      </c>
      <c r="G25" s="3202" t="s">
        <v>3527</v>
      </c>
      <c r="H25" s="3202" t="s">
        <v>3448</v>
      </c>
      <c r="I25" s="3203">
        <v>85.3</v>
      </c>
      <c r="J25" s="3204">
        <v>1</v>
      </c>
      <c r="P25" s="3209">
        <v>85.22</v>
      </c>
      <c r="Q25" s="3200">
        <v>5</v>
      </c>
      <c r="T25" s="3209">
        <v>85.22</v>
      </c>
      <c r="U25" s="3200">
        <v>5</v>
      </c>
      <c r="X25" s="3210" t="s">
        <v>403</v>
      </c>
      <c r="Y25" s="3200">
        <v>31</v>
      </c>
      <c r="AA25" s="3209">
        <v>88.22</v>
      </c>
      <c r="AB25" s="3200">
        <v>15</v>
      </c>
      <c r="AD25" s="3209">
        <v>86.51</v>
      </c>
      <c r="AE25" s="3200">
        <v>5</v>
      </c>
    </row>
    <row r="26" spans="1:31">
      <c r="A26" s="3204">
        <v>25</v>
      </c>
      <c r="B26" s="3204">
        <v>4</v>
      </c>
      <c r="C26" s="3204">
        <v>2</v>
      </c>
      <c r="D26" s="3204">
        <v>5</v>
      </c>
      <c r="E26" s="3204">
        <v>501</v>
      </c>
      <c r="F26" s="3206" t="s">
        <v>3552</v>
      </c>
      <c r="G26" s="3202" t="s">
        <v>3527</v>
      </c>
      <c r="H26" s="3202" t="s">
        <v>3448</v>
      </c>
      <c r="I26" s="3203">
        <v>82.51</v>
      </c>
      <c r="J26" s="3204">
        <v>1</v>
      </c>
      <c r="P26" s="3211" t="s">
        <v>3554</v>
      </c>
      <c r="Q26" s="3200">
        <v>5</v>
      </c>
      <c r="T26" s="3211" t="s">
        <v>3554</v>
      </c>
      <c r="U26" s="3200">
        <v>5</v>
      </c>
      <c r="X26" s="3210" t="s">
        <v>3534</v>
      </c>
      <c r="Y26" s="3200">
        <v>30</v>
      </c>
      <c r="AA26" s="3209">
        <v>88.25</v>
      </c>
      <c r="AB26" s="3200">
        <v>5</v>
      </c>
      <c r="AD26" s="3209">
        <v>88.42</v>
      </c>
      <c r="AE26" s="3200">
        <v>5</v>
      </c>
    </row>
    <row r="27" spans="1:31">
      <c r="A27" s="3204">
        <v>26</v>
      </c>
      <c r="B27" s="3204">
        <v>4</v>
      </c>
      <c r="C27" s="3204">
        <v>2</v>
      </c>
      <c r="D27" s="3204">
        <v>5</v>
      </c>
      <c r="E27" s="3204">
        <v>502</v>
      </c>
      <c r="F27" s="3206" t="s">
        <v>3560</v>
      </c>
      <c r="G27" s="3202" t="s">
        <v>3527</v>
      </c>
      <c r="H27" s="3202" t="s">
        <v>3532</v>
      </c>
      <c r="I27" s="3203">
        <v>88.49</v>
      </c>
      <c r="J27" s="3204">
        <v>1</v>
      </c>
      <c r="P27" s="3209">
        <v>87.06</v>
      </c>
      <c r="Q27" s="3200">
        <v>1</v>
      </c>
      <c r="T27" s="3209">
        <v>87.06</v>
      </c>
      <c r="U27" s="3200">
        <v>1</v>
      </c>
      <c r="X27" s="3210" t="s">
        <v>3552</v>
      </c>
      <c r="Y27" s="3200">
        <v>20</v>
      </c>
      <c r="AA27" s="3209">
        <v>88.27</v>
      </c>
      <c r="AB27" s="3200">
        <v>20</v>
      </c>
      <c r="AD27" s="3209">
        <v>88.67</v>
      </c>
      <c r="AE27" s="3200">
        <v>5</v>
      </c>
    </row>
    <row r="28" spans="1:31">
      <c r="A28" s="3204">
        <v>27</v>
      </c>
      <c r="B28" s="3204">
        <v>4</v>
      </c>
      <c r="C28" s="3204">
        <v>2</v>
      </c>
      <c r="D28" s="3204">
        <v>5</v>
      </c>
      <c r="E28" s="3204">
        <v>503</v>
      </c>
      <c r="F28" s="3206" t="s">
        <v>3562</v>
      </c>
      <c r="G28" s="3202" t="s">
        <v>3527</v>
      </c>
      <c r="H28" s="3202" t="s">
        <v>3448</v>
      </c>
      <c r="I28" s="3203">
        <v>85.3</v>
      </c>
      <c r="J28" s="3204">
        <v>1</v>
      </c>
      <c r="P28" s="3211" t="s">
        <v>3550</v>
      </c>
      <c r="Q28" s="3200">
        <v>1</v>
      </c>
      <c r="T28" s="3211" t="s">
        <v>3550</v>
      </c>
      <c r="U28" s="3200">
        <v>1</v>
      </c>
      <c r="X28" s="3210" t="s">
        <v>3568</v>
      </c>
      <c r="Y28" s="3200">
        <v>45</v>
      </c>
      <c r="AA28" s="3209">
        <v>88.41</v>
      </c>
      <c r="AB28" s="3200">
        <v>5</v>
      </c>
      <c r="AD28" s="3209">
        <v>88.69</v>
      </c>
      <c r="AE28" s="3200">
        <v>5</v>
      </c>
    </row>
    <row r="29" spans="1:31">
      <c r="A29" s="3204">
        <v>28</v>
      </c>
      <c r="B29" s="3204">
        <v>4</v>
      </c>
      <c r="C29" s="3204">
        <v>2</v>
      </c>
      <c r="D29" s="3204">
        <v>6</v>
      </c>
      <c r="E29" s="3204">
        <v>601</v>
      </c>
      <c r="F29" s="3206" t="s">
        <v>3552</v>
      </c>
      <c r="G29" s="3202" t="s">
        <v>3527</v>
      </c>
      <c r="H29" s="3202" t="s">
        <v>3448</v>
      </c>
      <c r="I29" s="3203">
        <v>82.51</v>
      </c>
      <c r="J29" s="3204">
        <v>1</v>
      </c>
      <c r="P29" s="3209">
        <v>87.11</v>
      </c>
      <c r="Q29" s="3200">
        <v>5</v>
      </c>
      <c r="T29" s="3209">
        <v>87.11</v>
      </c>
      <c r="U29" s="3200">
        <v>5</v>
      </c>
      <c r="X29" s="3210" t="s">
        <v>404</v>
      </c>
      <c r="Y29" s="3200">
        <v>33</v>
      </c>
      <c r="AA29" s="3209">
        <v>88.46</v>
      </c>
      <c r="AB29" s="3200">
        <v>20</v>
      </c>
      <c r="AD29" s="3209">
        <v>88.73</v>
      </c>
      <c r="AE29" s="3200">
        <v>5</v>
      </c>
    </row>
    <row r="30" spans="1:31">
      <c r="A30" s="3204">
        <v>29</v>
      </c>
      <c r="B30" s="3204">
        <v>4</v>
      </c>
      <c r="C30" s="3204">
        <v>2</v>
      </c>
      <c r="D30" s="3204">
        <v>6</v>
      </c>
      <c r="E30" s="3204">
        <v>602</v>
      </c>
      <c r="F30" s="3206" t="s">
        <v>3560</v>
      </c>
      <c r="G30" s="3202" t="s">
        <v>3527</v>
      </c>
      <c r="H30" s="3202" t="s">
        <v>3532</v>
      </c>
      <c r="I30" s="3203">
        <v>88.49</v>
      </c>
      <c r="J30" s="3204">
        <v>1</v>
      </c>
      <c r="P30" s="3211" t="s">
        <v>3550</v>
      </c>
      <c r="Q30" s="3200">
        <v>5</v>
      </c>
      <c r="T30" s="3211" t="s">
        <v>3550</v>
      </c>
      <c r="U30" s="3200">
        <v>5</v>
      </c>
      <c r="X30" s="3210" t="s">
        <v>3526</v>
      </c>
      <c r="Y30" s="3200">
        <v>30</v>
      </c>
      <c r="AA30" s="3209">
        <v>88.49</v>
      </c>
      <c r="AB30" s="3200">
        <v>15</v>
      </c>
      <c r="AD30" s="3208" t="s">
        <v>404</v>
      </c>
      <c r="AE30" s="3200">
        <v>44</v>
      </c>
    </row>
    <row r="31" spans="1:31">
      <c r="A31" s="3204">
        <v>30</v>
      </c>
      <c r="B31" s="3204">
        <v>4</v>
      </c>
      <c r="C31" s="3204">
        <v>2</v>
      </c>
      <c r="D31" s="3204">
        <v>6</v>
      </c>
      <c r="E31" s="3204">
        <v>603</v>
      </c>
      <c r="F31" s="3206" t="s">
        <v>3562</v>
      </c>
      <c r="G31" s="3202" t="s">
        <v>3527</v>
      </c>
      <c r="H31" s="3202" t="s">
        <v>3448</v>
      </c>
      <c r="I31" s="3203">
        <v>85.3</v>
      </c>
      <c r="J31" s="3204">
        <v>1</v>
      </c>
      <c r="P31" s="3209">
        <v>88.84</v>
      </c>
      <c r="Q31" s="3200">
        <v>5</v>
      </c>
      <c r="T31" s="3209">
        <v>88.84</v>
      </c>
      <c r="U31" s="3200">
        <v>5</v>
      </c>
      <c r="X31" s="3210" t="s">
        <v>3562</v>
      </c>
      <c r="Y31" s="3200">
        <v>20</v>
      </c>
      <c r="AA31" s="3209">
        <v>89.17</v>
      </c>
      <c r="AB31" s="3200">
        <v>10</v>
      </c>
      <c r="AD31" s="3209">
        <v>82.34</v>
      </c>
      <c r="AE31" s="3200">
        <v>12</v>
      </c>
    </row>
    <row r="32" spans="1:31">
      <c r="A32" s="3204">
        <v>31</v>
      </c>
      <c r="B32" s="3204">
        <v>4</v>
      </c>
      <c r="C32" s="3204">
        <v>3</v>
      </c>
      <c r="D32" s="3204">
        <v>2</v>
      </c>
      <c r="E32" s="3204">
        <v>201</v>
      </c>
      <c r="F32" s="3202" t="s">
        <v>3526</v>
      </c>
      <c r="G32" s="3202" t="s">
        <v>3527</v>
      </c>
      <c r="H32" s="3202" t="s">
        <v>3448</v>
      </c>
      <c r="I32" s="3203">
        <v>85.3</v>
      </c>
      <c r="J32" s="3204">
        <v>1</v>
      </c>
      <c r="P32" s="3211" t="s">
        <v>113</v>
      </c>
      <c r="Q32" s="3200">
        <v>5</v>
      </c>
      <c r="T32" s="3211" t="s">
        <v>113</v>
      </c>
      <c r="U32" s="3200">
        <v>5</v>
      </c>
      <c r="X32" s="3210" t="s">
        <v>3570</v>
      </c>
      <c r="Y32" s="3200">
        <v>1</v>
      </c>
      <c r="AA32" s="3209">
        <v>89.41</v>
      </c>
      <c r="AB32" s="3200">
        <v>5</v>
      </c>
      <c r="AD32" s="3209">
        <v>82.91</v>
      </c>
      <c r="AE32" s="3200">
        <v>6</v>
      </c>
    </row>
    <row r="33" spans="1:31">
      <c r="A33" s="3204">
        <v>32</v>
      </c>
      <c r="B33" s="3204">
        <v>4</v>
      </c>
      <c r="C33" s="3204">
        <v>3</v>
      </c>
      <c r="D33" s="3204">
        <v>2</v>
      </c>
      <c r="E33" s="3204">
        <v>202</v>
      </c>
      <c r="F33" s="3206" t="s">
        <v>3531</v>
      </c>
      <c r="G33" s="3202" t="s">
        <v>3527</v>
      </c>
      <c r="H33" s="3202" t="s">
        <v>3532</v>
      </c>
      <c r="I33" s="3203">
        <v>88.49</v>
      </c>
      <c r="J33" s="3204">
        <v>1</v>
      </c>
      <c r="P33" s="3209">
        <v>89.6</v>
      </c>
      <c r="Q33" s="3200">
        <v>5</v>
      </c>
      <c r="T33" s="3209">
        <v>89.6</v>
      </c>
      <c r="U33" s="3200">
        <v>5</v>
      </c>
      <c r="X33" s="3210" t="s">
        <v>3554</v>
      </c>
      <c r="Y33" s="3200">
        <v>45</v>
      </c>
      <c r="AA33" s="3209">
        <v>89.45</v>
      </c>
      <c r="AB33" s="3200">
        <v>5</v>
      </c>
      <c r="AD33" s="3209">
        <v>85.02</v>
      </c>
      <c r="AE33" s="3200">
        <v>6</v>
      </c>
    </row>
    <row r="34" spans="1:31">
      <c r="A34" s="3204">
        <v>33</v>
      </c>
      <c r="B34" s="3204">
        <v>4</v>
      </c>
      <c r="C34" s="3204">
        <v>3</v>
      </c>
      <c r="D34" s="3204">
        <v>2</v>
      </c>
      <c r="E34" s="3204">
        <v>203</v>
      </c>
      <c r="F34" s="3206" t="s">
        <v>3534</v>
      </c>
      <c r="G34" s="3202" t="s">
        <v>3527</v>
      </c>
      <c r="H34" s="3202" t="s">
        <v>3448</v>
      </c>
      <c r="I34" s="3203">
        <v>82.51</v>
      </c>
      <c r="J34" s="3204">
        <v>1</v>
      </c>
      <c r="P34" s="3211" t="s">
        <v>3558</v>
      </c>
      <c r="Q34" s="3200">
        <v>5</v>
      </c>
      <c r="T34" s="3211" t="s">
        <v>3558</v>
      </c>
      <c r="U34" s="3200">
        <v>5</v>
      </c>
      <c r="X34" s="3210" t="s">
        <v>3571</v>
      </c>
      <c r="Y34" s="3200">
        <v>10</v>
      </c>
      <c r="AA34" s="3208" t="s">
        <v>3448</v>
      </c>
      <c r="AB34" s="3200">
        <v>311</v>
      </c>
      <c r="AD34" s="3209">
        <v>85.12</v>
      </c>
      <c r="AE34" s="3200">
        <v>5</v>
      </c>
    </row>
    <row r="35" spans="1:31">
      <c r="A35" s="3204">
        <v>34</v>
      </c>
      <c r="B35" s="3204">
        <v>4</v>
      </c>
      <c r="C35" s="3204">
        <v>3</v>
      </c>
      <c r="D35" s="3204">
        <v>3</v>
      </c>
      <c r="E35" s="3204">
        <v>301</v>
      </c>
      <c r="F35" s="3202" t="s">
        <v>3526</v>
      </c>
      <c r="G35" s="3202" t="s">
        <v>3527</v>
      </c>
      <c r="H35" s="3202" t="s">
        <v>3448</v>
      </c>
      <c r="I35" s="3203">
        <v>85.3</v>
      </c>
      <c r="J35" s="3204">
        <v>1</v>
      </c>
      <c r="P35" s="3208" t="s">
        <v>3532</v>
      </c>
      <c r="Q35" s="3200">
        <v>158</v>
      </c>
      <c r="T35" s="3208" t="s">
        <v>3532</v>
      </c>
      <c r="U35" s="3200">
        <v>158</v>
      </c>
      <c r="X35" s="3210" t="s">
        <v>3572</v>
      </c>
      <c r="Y35" s="3200">
        <v>10</v>
      </c>
      <c r="AA35" s="3209">
        <v>76.3</v>
      </c>
      <c r="AB35" s="3200">
        <v>10</v>
      </c>
      <c r="AD35" s="3209">
        <v>85.14</v>
      </c>
      <c r="AE35" s="3200">
        <v>5</v>
      </c>
    </row>
    <row r="36" spans="1:31">
      <c r="A36" s="3204">
        <v>35</v>
      </c>
      <c r="B36" s="3204">
        <v>4</v>
      </c>
      <c r="C36" s="3204">
        <v>3</v>
      </c>
      <c r="D36" s="3204">
        <v>3</v>
      </c>
      <c r="E36" s="3204">
        <v>302</v>
      </c>
      <c r="F36" s="3206" t="s">
        <v>3531</v>
      </c>
      <c r="G36" s="3202" t="s">
        <v>3527</v>
      </c>
      <c r="H36" s="3202" t="s">
        <v>3532</v>
      </c>
      <c r="I36" s="3203">
        <v>88.49</v>
      </c>
      <c r="J36" s="3204">
        <v>1</v>
      </c>
      <c r="P36" s="3209">
        <v>85.39</v>
      </c>
      <c r="Q36" s="3200">
        <v>30</v>
      </c>
      <c r="T36" s="3209">
        <v>85.39</v>
      </c>
      <c r="U36" s="3200">
        <v>30</v>
      </c>
      <c r="X36" s="3210" t="s">
        <v>3573</v>
      </c>
      <c r="Y36" s="3200">
        <v>5</v>
      </c>
      <c r="AA36" s="3209">
        <v>76.53</v>
      </c>
      <c r="AB36" s="3200">
        <v>5</v>
      </c>
      <c r="AD36" s="3209">
        <v>85.17</v>
      </c>
      <c r="AE36" s="3200">
        <v>5</v>
      </c>
    </row>
    <row r="37" spans="1:31">
      <c r="A37" s="3204">
        <v>36</v>
      </c>
      <c r="B37" s="3204">
        <v>4</v>
      </c>
      <c r="C37" s="3204">
        <v>3</v>
      </c>
      <c r="D37" s="3204">
        <v>3</v>
      </c>
      <c r="E37" s="3204">
        <v>303</v>
      </c>
      <c r="F37" s="3206" t="s">
        <v>3534</v>
      </c>
      <c r="G37" s="3202" t="s">
        <v>3527</v>
      </c>
      <c r="H37" s="3202" t="s">
        <v>3448</v>
      </c>
      <c r="I37" s="3203">
        <v>82.51</v>
      </c>
      <c r="J37" s="3204">
        <v>1</v>
      </c>
      <c r="P37" s="3211" t="s">
        <v>409</v>
      </c>
      <c r="Q37" s="3200">
        <v>12</v>
      </c>
      <c r="T37" s="3211" t="s">
        <v>409</v>
      </c>
      <c r="U37" s="3200">
        <v>12</v>
      </c>
      <c r="X37" s="3210" t="s">
        <v>3574</v>
      </c>
      <c r="Y37" s="3200">
        <v>6</v>
      </c>
      <c r="AA37" s="3209">
        <v>77.28</v>
      </c>
      <c r="AB37" s="3200">
        <v>5</v>
      </c>
      <c r="AD37" s="3209">
        <v>85.86</v>
      </c>
      <c r="AE37" s="3200">
        <v>5</v>
      </c>
    </row>
    <row r="38" spans="1:31">
      <c r="A38" s="3204">
        <v>37</v>
      </c>
      <c r="B38" s="3204">
        <v>4</v>
      </c>
      <c r="C38" s="3204">
        <v>3</v>
      </c>
      <c r="D38" s="3204">
        <v>4</v>
      </c>
      <c r="E38" s="3204">
        <v>401</v>
      </c>
      <c r="F38" s="3202" t="s">
        <v>3526</v>
      </c>
      <c r="G38" s="3202" t="s">
        <v>3527</v>
      </c>
      <c r="H38" s="3202" t="s">
        <v>3448</v>
      </c>
      <c r="I38" s="3203">
        <v>85.3</v>
      </c>
      <c r="J38" s="3204">
        <v>1</v>
      </c>
      <c r="P38" s="3211" t="s">
        <v>3539</v>
      </c>
      <c r="Q38" s="3200">
        <v>18</v>
      </c>
      <c r="T38" s="3211" t="s">
        <v>3539</v>
      </c>
      <c r="U38" s="3200">
        <v>18</v>
      </c>
      <c r="X38" s="3210" t="s">
        <v>3575</v>
      </c>
      <c r="Y38" s="3200">
        <v>5</v>
      </c>
      <c r="AA38" s="3209">
        <v>77.52</v>
      </c>
      <c r="AB38" s="3200">
        <v>5</v>
      </c>
      <c r="AD38" s="3208" t="s">
        <v>3526</v>
      </c>
      <c r="AE38" s="3200">
        <v>30</v>
      </c>
    </row>
    <row r="39" spans="1:31">
      <c r="A39" s="3204">
        <v>38</v>
      </c>
      <c r="B39" s="3204">
        <v>4</v>
      </c>
      <c r="C39" s="3204">
        <v>3</v>
      </c>
      <c r="D39" s="3204">
        <v>4</v>
      </c>
      <c r="E39" s="3204">
        <v>402</v>
      </c>
      <c r="F39" s="3206" t="s">
        <v>3531</v>
      </c>
      <c r="G39" s="3202" t="s">
        <v>3527</v>
      </c>
      <c r="H39" s="3202" t="s">
        <v>3532</v>
      </c>
      <c r="I39" s="3203">
        <v>88.49</v>
      </c>
      <c r="J39" s="3204">
        <v>1</v>
      </c>
      <c r="P39" s="3209">
        <v>85.98</v>
      </c>
      <c r="Q39" s="3200">
        <v>18</v>
      </c>
      <c r="T39" s="3209">
        <v>85.98</v>
      </c>
      <c r="U39" s="3200">
        <v>18</v>
      </c>
      <c r="X39" s="3210" t="s">
        <v>2507</v>
      </c>
      <c r="Y39" s="3200">
        <v>5</v>
      </c>
      <c r="AA39" s="3209">
        <v>79.17</v>
      </c>
      <c r="AB39" s="3200">
        <v>1</v>
      </c>
      <c r="AD39" s="3209">
        <v>85.04</v>
      </c>
      <c r="AE39" s="3200">
        <v>10</v>
      </c>
    </row>
    <row r="40" spans="1:31">
      <c r="A40" s="3204">
        <v>39</v>
      </c>
      <c r="B40" s="3204">
        <v>4</v>
      </c>
      <c r="C40" s="3204">
        <v>3</v>
      </c>
      <c r="D40" s="3204">
        <v>4</v>
      </c>
      <c r="E40" s="3204">
        <v>403</v>
      </c>
      <c r="F40" s="3206" t="s">
        <v>3534</v>
      </c>
      <c r="G40" s="3202" t="s">
        <v>3527</v>
      </c>
      <c r="H40" s="3202" t="s">
        <v>3448</v>
      </c>
      <c r="I40" s="3203">
        <v>82.51</v>
      </c>
      <c r="J40" s="3204">
        <v>1</v>
      </c>
      <c r="P40" s="3211" t="s">
        <v>409</v>
      </c>
      <c r="Q40" s="3200">
        <v>6</v>
      </c>
      <c r="T40" s="3211" t="s">
        <v>409</v>
      </c>
      <c r="U40" s="3200">
        <v>6</v>
      </c>
      <c r="X40" s="3210" t="s">
        <v>3576</v>
      </c>
      <c r="Y40" s="3200">
        <v>5</v>
      </c>
      <c r="AA40" s="3209">
        <v>81.88</v>
      </c>
      <c r="AB40" s="3200">
        <v>5</v>
      </c>
      <c r="AD40" s="3209">
        <v>85.26</v>
      </c>
      <c r="AE40" s="3200">
        <v>10</v>
      </c>
    </row>
    <row r="41" spans="1:31">
      <c r="A41" s="3204">
        <v>40</v>
      </c>
      <c r="B41" s="3204">
        <v>4</v>
      </c>
      <c r="C41" s="3204">
        <v>3</v>
      </c>
      <c r="D41" s="3204">
        <v>5</v>
      </c>
      <c r="E41" s="3204">
        <v>501</v>
      </c>
      <c r="F41" s="3202" t="s">
        <v>3526</v>
      </c>
      <c r="G41" s="3202" t="s">
        <v>3527</v>
      </c>
      <c r="H41" s="3202" t="s">
        <v>3448</v>
      </c>
      <c r="I41" s="3203">
        <v>85.3</v>
      </c>
      <c r="J41" s="3204">
        <v>1</v>
      </c>
      <c r="P41" s="3211" t="s">
        <v>3539</v>
      </c>
      <c r="Q41" s="3200">
        <v>12</v>
      </c>
      <c r="T41" s="3211" t="s">
        <v>3539</v>
      </c>
      <c r="U41" s="3200">
        <v>12</v>
      </c>
      <c r="X41" s="3210" t="s">
        <v>3577</v>
      </c>
      <c r="Y41" s="3200">
        <v>10</v>
      </c>
      <c r="AA41" s="3209">
        <v>82.26</v>
      </c>
      <c r="AB41" s="3200">
        <v>15</v>
      </c>
      <c r="AD41" s="3209">
        <v>85.3</v>
      </c>
      <c r="AE41" s="3200">
        <v>5</v>
      </c>
    </row>
    <row r="42" spans="1:31">
      <c r="A42" s="3204">
        <v>41</v>
      </c>
      <c r="B42" s="3204">
        <v>4</v>
      </c>
      <c r="C42" s="3204">
        <v>3</v>
      </c>
      <c r="D42" s="3204">
        <v>5</v>
      </c>
      <c r="E42" s="3204">
        <v>502</v>
      </c>
      <c r="F42" s="3206" t="s">
        <v>3531</v>
      </c>
      <c r="G42" s="3202" t="s">
        <v>3527</v>
      </c>
      <c r="H42" s="3202" t="s">
        <v>3532</v>
      </c>
      <c r="I42" s="3203">
        <v>88.49</v>
      </c>
      <c r="J42" s="3204">
        <v>1</v>
      </c>
      <c r="P42" s="3209">
        <v>88.02</v>
      </c>
      <c r="Q42" s="3200">
        <v>5</v>
      </c>
      <c r="T42" s="3209">
        <v>88.02</v>
      </c>
      <c r="U42" s="3200">
        <v>5</v>
      </c>
      <c r="X42" s="3208" t="s">
        <v>3578</v>
      </c>
      <c r="Y42" s="3200">
        <v>21</v>
      </c>
      <c r="AA42" s="3209">
        <v>82.34</v>
      </c>
      <c r="AB42" s="3200">
        <v>24</v>
      </c>
      <c r="AD42" s="3209">
        <v>86.07</v>
      </c>
      <c r="AE42" s="3200">
        <v>5</v>
      </c>
    </row>
    <row r="43" spans="1:31">
      <c r="A43" s="3204">
        <v>42</v>
      </c>
      <c r="B43" s="3204">
        <v>4</v>
      </c>
      <c r="C43" s="3204">
        <v>3</v>
      </c>
      <c r="D43" s="3204">
        <v>5</v>
      </c>
      <c r="E43" s="3204">
        <v>503</v>
      </c>
      <c r="F43" s="3206" t="s">
        <v>3534</v>
      </c>
      <c r="G43" s="3202" t="s">
        <v>3527</v>
      </c>
      <c r="H43" s="3202" t="s">
        <v>3448</v>
      </c>
      <c r="I43" s="3203">
        <v>82.51</v>
      </c>
      <c r="J43" s="3204">
        <v>1</v>
      </c>
      <c r="P43" s="3211" t="s">
        <v>3539</v>
      </c>
      <c r="Q43" s="3200">
        <v>5</v>
      </c>
      <c r="T43" s="3211" t="s">
        <v>3539</v>
      </c>
      <c r="U43" s="3200">
        <v>5</v>
      </c>
      <c r="X43" s="3210" t="s">
        <v>409</v>
      </c>
      <c r="Y43" s="3200">
        <v>5</v>
      </c>
      <c r="AA43" s="3209">
        <v>82.48</v>
      </c>
      <c r="AB43" s="3200">
        <v>20</v>
      </c>
      <c r="AD43" s="3208" t="s">
        <v>3562</v>
      </c>
      <c r="AE43" s="3200">
        <v>20</v>
      </c>
    </row>
    <row r="44" spans="1:31">
      <c r="A44" s="3204">
        <v>43</v>
      </c>
      <c r="B44" s="3204">
        <v>4</v>
      </c>
      <c r="C44" s="3204">
        <v>3</v>
      </c>
      <c r="D44" s="3204">
        <v>6</v>
      </c>
      <c r="E44" s="3204">
        <v>601</v>
      </c>
      <c r="F44" s="3202" t="s">
        <v>3526</v>
      </c>
      <c r="G44" s="3202" t="s">
        <v>3527</v>
      </c>
      <c r="H44" s="3202" t="s">
        <v>3448</v>
      </c>
      <c r="I44" s="3203">
        <v>85.3</v>
      </c>
      <c r="J44" s="3204">
        <v>1</v>
      </c>
      <c r="P44" s="3209">
        <v>88.14</v>
      </c>
      <c r="Q44" s="3200">
        <v>5</v>
      </c>
      <c r="T44" s="3209">
        <v>88.14</v>
      </c>
      <c r="U44" s="3200">
        <v>5</v>
      </c>
      <c r="X44" s="3210" t="s">
        <v>3539</v>
      </c>
      <c r="Y44" s="3200">
        <v>16</v>
      </c>
      <c r="AA44" s="3209">
        <v>82.51</v>
      </c>
      <c r="AB44" s="3200">
        <v>15</v>
      </c>
      <c r="AD44" s="3209">
        <v>85.04</v>
      </c>
      <c r="AE44" s="3200">
        <v>5</v>
      </c>
    </row>
    <row r="45" spans="1:31">
      <c r="A45" s="3204">
        <v>44</v>
      </c>
      <c r="B45" s="3204">
        <v>4</v>
      </c>
      <c r="C45" s="3204">
        <v>3</v>
      </c>
      <c r="D45" s="3204">
        <v>6</v>
      </c>
      <c r="E45" s="3204">
        <v>602</v>
      </c>
      <c r="F45" s="3206" t="s">
        <v>3531</v>
      </c>
      <c r="G45" s="3202" t="s">
        <v>3527</v>
      </c>
      <c r="H45" s="3202" t="s">
        <v>3532</v>
      </c>
      <c r="I45" s="3203">
        <v>88.49</v>
      </c>
      <c r="J45" s="3204">
        <v>1</v>
      </c>
      <c r="P45" s="3211" t="s">
        <v>3539</v>
      </c>
      <c r="Q45" s="3200">
        <v>5</v>
      </c>
      <c r="T45" s="3211" t="s">
        <v>3539</v>
      </c>
      <c r="U45" s="3200">
        <v>5</v>
      </c>
      <c r="X45" s="3208" t="s">
        <v>3579</v>
      </c>
      <c r="Y45" s="3200">
        <v>10</v>
      </c>
      <c r="AA45" s="3209">
        <v>82.91</v>
      </c>
      <c r="AB45" s="3200">
        <v>12</v>
      </c>
      <c r="AD45" s="3209">
        <v>85.26</v>
      </c>
      <c r="AE45" s="3200">
        <v>10</v>
      </c>
    </row>
    <row r="46" spans="1:31">
      <c r="A46" s="3204">
        <v>45</v>
      </c>
      <c r="B46" s="3204">
        <v>4</v>
      </c>
      <c r="C46" s="3204">
        <v>3</v>
      </c>
      <c r="D46" s="3204">
        <v>6</v>
      </c>
      <c r="E46" s="3204">
        <v>603</v>
      </c>
      <c r="F46" s="3206" t="s">
        <v>3534</v>
      </c>
      <c r="G46" s="3202" t="s">
        <v>3527</v>
      </c>
      <c r="H46" s="3202" t="s">
        <v>3448</v>
      </c>
      <c r="I46" s="3203">
        <v>82.51</v>
      </c>
      <c r="J46" s="3204">
        <v>1</v>
      </c>
      <c r="P46" s="3209">
        <v>88.22</v>
      </c>
      <c r="Q46" s="3200">
        <v>15</v>
      </c>
      <c r="T46" s="3209">
        <v>88.22</v>
      </c>
      <c r="U46" s="3200">
        <v>15</v>
      </c>
      <c r="X46" s="3210" t="s">
        <v>3580</v>
      </c>
      <c r="Y46" s="3200">
        <v>10</v>
      </c>
      <c r="AA46" s="3209">
        <v>83.07</v>
      </c>
      <c r="AB46" s="3200">
        <v>6</v>
      </c>
      <c r="AD46" s="3209">
        <v>85.3</v>
      </c>
      <c r="AE46" s="3200">
        <v>5</v>
      </c>
    </row>
    <row r="47" spans="1:31">
      <c r="A47" s="3204">
        <v>46</v>
      </c>
      <c r="B47" s="3204">
        <v>4</v>
      </c>
      <c r="C47" s="3204">
        <v>4</v>
      </c>
      <c r="D47" s="3204">
        <v>2</v>
      </c>
      <c r="E47" s="3204">
        <v>201</v>
      </c>
      <c r="F47" s="3206" t="s">
        <v>3568</v>
      </c>
      <c r="G47" s="3202" t="s">
        <v>3527</v>
      </c>
      <c r="H47" s="3202" t="s">
        <v>3448</v>
      </c>
      <c r="I47" s="3203">
        <v>88.69</v>
      </c>
      <c r="J47" s="3204">
        <v>1</v>
      </c>
      <c r="P47" s="3211" t="s">
        <v>3531</v>
      </c>
      <c r="Q47" s="3200">
        <v>10</v>
      </c>
      <c r="T47" s="3211" t="s">
        <v>3531</v>
      </c>
      <c r="U47" s="3200">
        <v>10</v>
      </c>
      <c r="X47" s="3207" t="s">
        <v>3581</v>
      </c>
      <c r="Y47" s="3200">
        <v>20</v>
      </c>
      <c r="AA47" s="3209">
        <v>83.65</v>
      </c>
      <c r="AB47" s="3200">
        <v>6</v>
      </c>
      <c r="AD47" s="3208" t="s">
        <v>3570</v>
      </c>
      <c r="AE47" s="3200">
        <v>1</v>
      </c>
    </row>
    <row r="48" spans="1:31">
      <c r="A48" s="3204">
        <v>47</v>
      </c>
      <c r="B48" s="3204">
        <v>4</v>
      </c>
      <c r="C48" s="3204">
        <v>4</v>
      </c>
      <c r="D48" s="3204">
        <v>2</v>
      </c>
      <c r="E48" s="3204">
        <v>202</v>
      </c>
      <c r="F48" s="3206" t="s">
        <v>3539</v>
      </c>
      <c r="G48" s="3202" t="s">
        <v>3527</v>
      </c>
      <c r="H48" s="3202" t="s">
        <v>3532</v>
      </c>
      <c r="I48" s="3203">
        <v>88.41</v>
      </c>
      <c r="J48" s="3204">
        <v>1</v>
      </c>
      <c r="P48" s="3211" t="s">
        <v>3560</v>
      </c>
      <c r="Q48" s="3200">
        <v>5</v>
      </c>
      <c r="T48" s="3211" t="s">
        <v>3560</v>
      </c>
      <c r="U48" s="3200">
        <v>5</v>
      </c>
      <c r="X48" s="3208" t="s">
        <v>3547</v>
      </c>
      <c r="Y48" s="3200">
        <v>15</v>
      </c>
      <c r="AA48" s="3209">
        <v>84.88</v>
      </c>
      <c r="AB48" s="3200">
        <v>5</v>
      </c>
      <c r="AD48" s="3209">
        <v>79.17</v>
      </c>
      <c r="AE48" s="3200">
        <v>1</v>
      </c>
    </row>
    <row r="49" spans="1:31">
      <c r="A49" s="3204">
        <v>48</v>
      </c>
      <c r="B49" s="3204">
        <v>4</v>
      </c>
      <c r="C49" s="3204">
        <v>4</v>
      </c>
      <c r="D49" s="3204">
        <v>2</v>
      </c>
      <c r="E49" s="3204">
        <v>203</v>
      </c>
      <c r="F49" s="3206" t="s">
        <v>3571</v>
      </c>
      <c r="G49" s="3202" t="s">
        <v>3527</v>
      </c>
      <c r="H49" s="3202" t="s">
        <v>3448</v>
      </c>
      <c r="I49" s="3203">
        <v>77.52</v>
      </c>
      <c r="J49" s="3204">
        <v>1</v>
      </c>
      <c r="P49" s="3209">
        <v>88.25</v>
      </c>
      <c r="Q49" s="3200">
        <v>5</v>
      </c>
      <c r="T49" s="3209">
        <v>88.25</v>
      </c>
      <c r="U49" s="3200">
        <v>5</v>
      </c>
      <c r="X49" s="3210" t="s">
        <v>3582</v>
      </c>
      <c r="Y49" s="3200">
        <v>10</v>
      </c>
      <c r="AA49" s="3209">
        <v>85.04</v>
      </c>
      <c r="AB49" s="3200">
        <v>15</v>
      </c>
      <c r="AD49" s="3208" t="s">
        <v>3554</v>
      </c>
      <c r="AE49" s="3200">
        <v>61</v>
      </c>
    </row>
    <row r="50" spans="1:31">
      <c r="A50" s="3204">
        <v>49</v>
      </c>
      <c r="B50" s="3204">
        <v>4</v>
      </c>
      <c r="C50" s="3204">
        <v>4</v>
      </c>
      <c r="D50" s="3204">
        <v>3</v>
      </c>
      <c r="E50" s="3204">
        <v>301</v>
      </c>
      <c r="F50" s="3206" t="s">
        <v>3568</v>
      </c>
      <c r="G50" s="3202" t="s">
        <v>3527</v>
      </c>
      <c r="H50" s="3202" t="s">
        <v>3448</v>
      </c>
      <c r="I50" s="3203">
        <v>88.69</v>
      </c>
      <c r="J50" s="3204">
        <v>1</v>
      </c>
      <c r="P50" s="3211" t="s">
        <v>409</v>
      </c>
      <c r="Q50" s="3200">
        <v>5</v>
      </c>
      <c r="T50" s="3211" t="s">
        <v>409</v>
      </c>
      <c r="U50" s="3200">
        <v>5</v>
      </c>
      <c r="X50" s="3210" t="s">
        <v>3583</v>
      </c>
      <c r="Y50" s="3200">
        <v>5</v>
      </c>
      <c r="AA50" s="3209">
        <v>85.12</v>
      </c>
      <c r="AB50" s="3200">
        <v>10</v>
      </c>
      <c r="AD50" s="3209">
        <v>82.34</v>
      </c>
      <c r="AE50" s="3200">
        <v>12</v>
      </c>
    </row>
    <row r="51" spans="1:31">
      <c r="A51" s="3204">
        <v>50</v>
      </c>
      <c r="B51" s="3204">
        <v>4</v>
      </c>
      <c r="C51" s="3204">
        <v>4</v>
      </c>
      <c r="D51" s="3204">
        <v>3</v>
      </c>
      <c r="E51" s="3204">
        <v>302</v>
      </c>
      <c r="F51" s="3206" t="s">
        <v>3539</v>
      </c>
      <c r="G51" s="3202" t="s">
        <v>3527</v>
      </c>
      <c r="H51" s="3202" t="s">
        <v>3532</v>
      </c>
      <c r="I51" s="3203">
        <v>88.41</v>
      </c>
      <c r="J51" s="3204">
        <v>1</v>
      </c>
      <c r="P51" s="3209">
        <v>88.27</v>
      </c>
      <c r="Q51" s="3200">
        <v>20</v>
      </c>
      <c r="T51" s="3209">
        <v>88.27</v>
      </c>
      <c r="U51" s="3200">
        <v>20</v>
      </c>
      <c r="X51" s="3208" t="s">
        <v>3532</v>
      </c>
      <c r="Y51" s="3200">
        <v>5</v>
      </c>
      <c r="AA51" s="3209">
        <v>85.17</v>
      </c>
      <c r="AB51" s="3200">
        <v>5</v>
      </c>
      <c r="AD51" s="3209">
        <v>82.91</v>
      </c>
      <c r="AE51" s="3200">
        <v>6</v>
      </c>
    </row>
    <row r="52" spans="1:31">
      <c r="A52" s="3204">
        <v>51</v>
      </c>
      <c r="B52" s="3204">
        <v>4</v>
      </c>
      <c r="C52" s="3204">
        <v>4</v>
      </c>
      <c r="D52" s="3204">
        <v>3</v>
      </c>
      <c r="E52" s="3204">
        <v>303</v>
      </c>
      <c r="F52" s="3206" t="s">
        <v>3571</v>
      </c>
      <c r="G52" s="3202" t="s">
        <v>3527</v>
      </c>
      <c r="H52" s="3202" t="s">
        <v>3448</v>
      </c>
      <c r="I52" s="3203">
        <v>77.52</v>
      </c>
      <c r="J52" s="3204">
        <v>1</v>
      </c>
      <c r="P52" s="3211" t="s">
        <v>409</v>
      </c>
      <c r="Q52" s="3200">
        <v>10</v>
      </c>
      <c r="T52" s="3211" t="s">
        <v>409</v>
      </c>
      <c r="U52" s="3200">
        <v>10</v>
      </c>
      <c r="X52" s="3210" t="s">
        <v>3584</v>
      </c>
      <c r="Y52" s="3200">
        <v>5</v>
      </c>
      <c r="AA52" s="3209">
        <v>85.26</v>
      </c>
      <c r="AB52" s="3200">
        <v>20</v>
      </c>
      <c r="AD52" s="3209">
        <v>83.07</v>
      </c>
      <c r="AE52" s="3200">
        <v>6</v>
      </c>
    </row>
    <row r="53" spans="1:31">
      <c r="A53" s="3204">
        <v>52</v>
      </c>
      <c r="B53" s="3204">
        <v>4</v>
      </c>
      <c r="C53" s="3204">
        <v>4</v>
      </c>
      <c r="D53" s="3204">
        <v>4</v>
      </c>
      <c r="E53" s="3204">
        <v>401</v>
      </c>
      <c r="F53" s="3206" t="s">
        <v>3568</v>
      </c>
      <c r="G53" s="3202" t="s">
        <v>3527</v>
      </c>
      <c r="H53" s="3202" t="s">
        <v>3448</v>
      </c>
      <c r="I53" s="3203">
        <v>88.69</v>
      </c>
      <c r="J53" s="3204">
        <v>1</v>
      </c>
      <c r="P53" s="3211" t="s">
        <v>3539</v>
      </c>
      <c r="Q53" s="3200">
        <v>10</v>
      </c>
      <c r="T53" s="3211" t="s">
        <v>3539</v>
      </c>
      <c r="U53" s="3200">
        <v>10</v>
      </c>
      <c r="X53" s="3207" t="s">
        <v>3585</v>
      </c>
      <c r="Y53" s="3200">
        <v>67</v>
      </c>
      <c r="AA53" s="3209">
        <v>85.3</v>
      </c>
      <c r="AB53" s="3200">
        <v>10</v>
      </c>
      <c r="AD53" s="3209">
        <v>83.65</v>
      </c>
      <c r="AE53" s="3200">
        <v>6</v>
      </c>
    </row>
    <row r="54" spans="1:31">
      <c r="A54" s="3204">
        <v>53</v>
      </c>
      <c r="B54" s="3204">
        <v>4</v>
      </c>
      <c r="C54" s="3204">
        <v>4</v>
      </c>
      <c r="D54" s="3204">
        <v>4</v>
      </c>
      <c r="E54" s="3204">
        <v>402</v>
      </c>
      <c r="F54" s="3206" t="s">
        <v>3539</v>
      </c>
      <c r="G54" s="3202" t="s">
        <v>3527</v>
      </c>
      <c r="H54" s="3202" t="s">
        <v>3532</v>
      </c>
      <c r="I54" s="3203">
        <v>88.41</v>
      </c>
      <c r="J54" s="3204">
        <v>1</v>
      </c>
      <c r="P54" s="3209">
        <v>88.41</v>
      </c>
      <c r="Q54" s="3200">
        <v>5</v>
      </c>
      <c r="T54" s="3209">
        <v>88.41</v>
      </c>
      <c r="U54" s="3200">
        <v>5</v>
      </c>
      <c r="X54" s="3208" t="s">
        <v>3536</v>
      </c>
      <c r="Y54" s="3200">
        <v>15</v>
      </c>
      <c r="AA54" s="3209">
        <v>85.78</v>
      </c>
      <c r="AB54" s="3200">
        <v>20</v>
      </c>
      <c r="AD54" s="3209">
        <v>84.88</v>
      </c>
      <c r="AE54" s="3200">
        <v>5</v>
      </c>
    </row>
    <row r="55" spans="1:31">
      <c r="A55" s="3204">
        <v>54</v>
      </c>
      <c r="B55" s="3204">
        <v>4</v>
      </c>
      <c r="C55" s="3204">
        <v>4</v>
      </c>
      <c r="D55" s="3204">
        <v>4</v>
      </c>
      <c r="E55" s="3204">
        <v>403</v>
      </c>
      <c r="F55" s="3206" t="s">
        <v>3571</v>
      </c>
      <c r="G55" s="3202" t="s">
        <v>3527</v>
      </c>
      <c r="H55" s="3202" t="s">
        <v>3448</v>
      </c>
      <c r="I55" s="3203">
        <v>77.52</v>
      </c>
      <c r="J55" s="3204">
        <v>1</v>
      </c>
      <c r="P55" s="3211" t="s">
        <v>3539</v>
      </c>
      <c r="Q55" s="3200">
        <v>5</v>
      </c>
      <c r="T55" s="3211" t="s">
        <v>3539</v>
      </c>
      <c r="U55" s="3200">
        <v>5</v>
      </c>
      <c r="X55" s="3210" t="s">
        <v>3586</v>
      </c>
      <c r="Y55" s="3200">
        <v>5</v>
      </c>
      <c r="AA55" s="3209">
        <v>85.86</v>
      </c>
      <c r="AB55" s="3200">
        <v>5</v>
      </c>
      <c r="AD55" s="3209">
        <v>85.02</v>
      </c>
      <c r="AE55" s="3200">
        <v>6</v>
      </c>
    </row>
    <row r="56" spans="1:31">
      <c r="A56" s="3204">
        <v>55</v>
      </c>
      <c r="B56" s="3204">
        <v>4</v>
      </c>
      <c r="C56" s="3204">
        <v>4</v>
      </c>
      <c r="D56" s="3204">
        <v>5</v>
      </c>
      <c r="E56" s="3204">
        <v>501</v>
      </c>
      <c r="F56" s="3206" t="s">
        <v>3568</v>
      </c>
      <c r="G56" s="3202" t="s">
        <v>3527</v>
      </c>
      <c r="H56" s="3202" t="s">
        <v>3448</v>
      </c>
      <c r="I56" s="3203">
        <v>88.69</v>
      </c>
      <c r="J56" s="3204">
        <v>1</v>
      </c>
      <c r="P56" s="3209">
        <v>88.46</v>
      </c>
      <c r="Q56" s="3200">
        <v>20</v>
      </c>
      <c r="T56" s="3209">
        <v>88.46</v>
      </c>
      <c r="U56" s="3200">
        <v>20</v>
      </c>
      <c r="X56" s="3210" t="s">
        <v>3587</v>
      </c>
      <c r="Y56" s="3200">
        <v>5</v>
      </c>
      <c r="AA56" s="3209">
        <v>85.88</v>
      </c>
      <c r="AB56" s="3200">
        <v>5</v>
      </c>
      <c r="AD56" s="3209">
        <v>85.12</v>
      </c>
      <c r="AE56" s="3200">
        <v>5</v>
      </c>
    </row>
    <row r="57" spans="1:31">
      <c r="A57" s="3204">
        <v>56</v>
      </c>
      <c r="B57" s="3204">
        <v>4</v>
      </c>
      <c r="C57" s="3204">
        <v>4</v>
      </c>
      <c r="D57" s="3204">
        <v>5</v>
      </c>
      <c r="E57" s="3204">
        <v>502</v>
      </c>
      <c r="F57" s="3206" t="s">
        <v>3539</v>
      </c>
      <c r="G57" s="3202" t="s">
        <v>3527</v>
      </c>
      <c r="H57" s="3202" t="s">
        <v>3532</v>
      </c>
      <c r="I57" s="3203">
        <v>88.41</v>
      </c>
      <c r="J57" s="3204">
        <v>1</v>
      </c>
      <c r="P57" s="3211" t="s">
        <v>3531</v>
      </c>
      <c r="Q57" s="3200">
        <v>10</v>
      </c>
      <c r="T57" s="3211" t="s">
        <v>3531</v>
      </c>
      <c r="U57" s="3200">
        <v>10</v>
      </c>
      <c r="X57" s="3210" t="s">
        <v>3588</v>
      </c>
      <c r="Y57" s="3200">
        <v>5</v>
      </c>
      <c r="AA57" s="3209">
        <v>86.07</v>
      </c>
      <c r="AB57" s="3200">
        <v>5</v>
      </c>
      <c r="AD57" s="3209">
        <v>85.14</v>
      </c>
      <c r="AE57" s="3200">
        <v>5</v>
      </c>
    </row>
    <row r="58" spans="1:31">
      <c r="A58" s="3204">
        <v>57</v>
      </c>
      <c r="B58" s="3204">
        <v>4</v>
      </c>
      <c r="C58" s="3204">
        <v>4</v>
      </c>
      <c r="D58" s="3204">
        <v>5</v>
      </c>
      <c r="E58" s="3204">
        <v>503</v>
      </c>
      <c r="F58" s="3206" t="s">
        <v>3571</v>
      </c>
      <c r="G58" s="3202" t="s">
        <v>3527</v>
      </c>
      <c r="H58" s="3202" t="s">
        <v>3448</v>
      </c>
      <c r="I58" s="3203">
        <v>77.52</v>
      </c>
      <c r="J58" s="3204">
        <v>1</v>
      </c>
      <c r="P58" s="3211" t="s">
        <v>3560</v>
      </c>
      <c r="Q58" s="3200">
        <v>10</v>
      </c>
      <c r="T58" s="3211" t="s">
        <v>3560</v>
      </c>
      <c r="U58" s="3200">
        <v>10</v>
      </c>
      <c r="X58" s="3208" t="s">
        <v>3543</v>
      </c>
      <c r="Y58" s="3200">
        <v>10</v>
      </c>
      <c r="AA58" s="3209">
        <v>86.37</v>
      </c>
      <c r="AB58" s="3200">
        <v>15</v>
      </c>
      <c r="AD58" s="3209">
        <v>85.22</v>
      </c>
      <c r="AE58" s="3200">
        <v>5</v>
      </c>
    </row>
    <row r="59" spans="1:31">
      <c r="A59" s="3204">
        <v>58</v>
      </c>
      <c r="B59" s="3204">
        <v>4</v>
      </c>
      <c r="C59" s="3204">
        <v>4</v>
      </c>
      <c r="D59" s="3204">
        <v>6</v>
      </c>
      <c r="E59" s="3204">
        <v>601</v>
      </c>
      <c r="F59" s="3206" t="s">
        <v>3568</v>
      </c>
      <c r="G59" s="3202" t="s">
        <v>3527</v>
      </c>
      <c r="H59" s="3202" t="s">
        <v>3448</v>
      </c>
      <c r="I59" s="3203">
        <v>88.69</v>
      </c>
      <c r="J59" s="3204">
        <v>1</v>
      </c>
      <c r="P59" s="3209">
        <v>88.49</v>
      </c>
      <c r="Q59" s="3200">
        <v>15</v>
      </c>
      <c r="T59" s="3209">
        <v>88.49</v>
      </c>
      <c r="U59" s="3200">
        <v>15</v>
      </c>
      <c r="X59" s="3210" t="s">
        <v>3589</v>
      </c>
      <c r="Y59" s="3200">
        <v>10</v>
      </c>
      <c r="AA59" s="3209">
        <v>86.51</v>
      </c>
      <c r="AB59" s="3200">
        <v>5</v>
      </c>
      <c r="AD59" s="3209">
        <v>85.88</v>
      </c>
      <c r="AE59" s="3200">
        <v>5</v>
      </c>
    </row>
    <row r="60" spans="1:31">
      <c r="A60" s="3204">
        <v>59</v>
      </c>
      <c r="B60" s="3204">
        <v>4</v>
      </c>
      <c r="C60" s="3204">
        <v>4</v>
      </c>
      <c r="D60" s="3204">
        <v>6</v>
      </c>
      <c r="E60" s="3204">
        <v>602</v>
      </c>
      <c r="F60" s="3206" t="s">
        <v>3539</v>
      </c>
      <c r="G60" s="3202" t="s">
        <v>3527</v>
      </c>
      <c r="H60" s="3202" t="s">
        <v>3532</v>
      </c>
      <c r="I60" s="3203">
        <v>88.41</v>
      </c>
      <c r="J60" s="3204">
        <v>1</v>
      </c>
      <c r="P60" s="3211" t="s">
        <v>3531</v>
      </c>
      <c r="Q60" s="3200">
        <v>10</v>
      </c>
      <c r="T60" s="3211" t="s">
        <v>3531</v>
      </c>
      <c r="U60" s="3200">
        <v>10</v>
      </c>
      <c r="X60" s="3208" t="s">
        <v>3547</v>
      </c>
      <c r="Y60" s="3200">
        <v>5</v>
      </c>
      <c r="AA60" s="3209">
        <v>87.58</v>
      </c>
      <c r="AB60" s="3200">
        <v>6</v>
      </c>
      <c r="AD60" s="3208" t="s">
        <v>409</v>
      </c>
      <c r="AE60" s="3200">
        <v>44</v>
      </c>
    </row>
    <row r="61" spans="1:31">
      <c r="A61" s="3204">
        <v>60</v>
      </c>
      <c r="B61" s="3204">
        <v>4</v>
      </c>
      <c r="C61" s="3204">
        <v>4</v>
      </c>
      <c r="D61" s="3204">
        <v>6</v>
      </c>
      <c r="E61" s="3204">
        <v>603</v>
      </c>
      <c r="F61" s="3206" t="s">
        <v>3571</v>
      </c>
      <c r="G61" s="3202" t="s">
        <v>3527</v>
      </c>
      <c r="H61" s="3202" t="s">
        <v>3448</v>
      </c>
      <c r="I61" s="3203">
        <v>77.52</v>
      </c>
      <c r="J61" s="3204">
        <v>1</v>
      </c>
      <c r="P61" s="3211" t="s">
        <v>3560</v>
      </c>
      <c r="Q61" s="3200">
        <v>5</v>
      </c>
      <c r="T61" s="3211" t="s">
        <v>3560</v>
      </c>
      <c r="U61" s="3200">
        <v>5</v>
      </c>
      <c r="X61" s="3210" t="s">
        <v>3590</v>
      </c>
      <c r="Y61" s="3200">
        <v>5</v>
      </c>
      <c r="AA61" s="3209">
        <v>87.79</v>
      </c>
      <c r="AB61" s="3200">
        <v>10</v>
      </c>
      <c r="AD61" s="3209">
        <v>85.39</v>
      </c>
      <c r="AE61" s="3200">
        <v>12</v>
      </c>
    </row>
    <row r="62" spans="1:31">
      <c r="A62" s="3204">
        <v>61</v>
      </c>
      <c r="B62" s="3204">
        <v>4</v>
      </c>
      <c r="C62" s="3204">
        <v>5</v>
      </c>
      <c r="D62" s="3204">
        <v>2</v>
      </c>
      <c r="E62" s="3204">
        <v>201</v>
      </c>
      <c r="F62" s="3202" t="s">
        <v>3572</v>
      </c>
      <c r="G62" s="3202" t="s">
        <v>3527</v>
      </c>
      <c r="H62" s="3202" t="s">
        <v>3448</v>
      </c>
      <c r="I62" s="3203">
        <v>76.53</v>
      </c>
      <c r="J62" s="3204">
        <v>1</v>
      </c>
      <c r="P62" s="3209">
        <v>89.17</v>
      </c>
      <c r="Q62" s="3200">
        <v>10</v>
      </c>
      <c r="T62" s="3209">
        <v>89.17</v>
      </c>
      <c r="U62" s="3200">
        <v>10</v>
      </c>
      <c r="X62" s="3208" t="s">
        <v>3532</v>
      </c>
      <c r="Y62" s="3200">
        <v>14</v>
      </c>
      <c r="AA62" s="3209">
        <v>88.42</v>
      </c>
      <c r="AB62" s="3200">
        <v>5</v>
      </c>
      <c r="AD62" s="3209">
        <v>85.98</v>
      </c>
      <c r="AE62" s="3200">
        <v>6</v>
      </c>
    </row>
    <row r="63" spans="1:31">
      <c r="A63" s="3204">
        <v>62</v>
      </c>
      <c r="B63" s="3204">
        <v>4</v>
      </c>
      <c r="C63" s="3204">
        <v>5</v>
      </c>
      <c r="D63" s="3204">
        <v>2</v>
      </c>
      <c r="E63" s="3204">
        <v>202</v>
      </c>
      <c r="F63" s="3206" t="s">
        <v>3580</v>
      </c>
      <c r="G63" s="3202" t="s">
        <v>3527</v>
      </c>
      <c r="H63" s="3202" t="s">
        <v>3579</v>
      </c>
      <c r="I63" s="3203">
        <v>68.61</v>
      </c>
      <c r="J63" s="3204">
        <v>1</v>
      </c>
      <c r="P63" s="3211" t="s">
        <v>3567</v>
      </c>
      <c r="Q63" s="3200">
        <v>5</v>
      </c>
      <c r="T63" s="3211" t="s">
        <v>3567</v>
      </c>
      <c r="U63" s="3200">
        <v>5</v>
      </c>
      <c r="X63" s="3210" t="s">
        <v>3591</v>
      </c>
      <c r="Y63" s="3200">
        <v>1</v>
      </c>
      <c r="AA63" s="3209">
        <v>88.65</v>
      </c>
      <c r="AB63" s="3200">
        <v>6</v>
      </c>
      <c r="AD63" s="3209">
        <v>88.02</v>
      </c>
      <c r="AE63" s="3200">
        <v>6</v>
      </c>
    </row>
    <row r="64" spans="1:31">
      <c r="A64" s="3204">
        <v>63</v>
      </c>
      <c r="B64" s="3204">
        <v>4</v>
      </c>
      <c r="C64" s="3204">
        <v>5</v>
      </c>
      <c r="D64" s="3204">
        <v>2</v>
      </c>
      <c r="E64" s="3204">
        <v>203</v>
      </c>
      <c r="F64" s="3206" t="s">
        <v>3582</v>
      </c>
      <c r="G64" s="3202" t="s">
        <v>3581</v>
      </c>
      <c r="H64" s="3202" t="s">
        <v>3547</v>
      </c>
      <c r="I64" s="3203">
        <v>87.48</v>
      </c>
      <c r="J64" s="3204">
        <v>1</v>
      </c>
      <c r="P64" s="3211" t="s">
        <v>3569</v>
      </c>
      <c r="Q64" s="3200">
        <v>5</v>
      </c>
      <c r="T64" s="3211" t="s">
        <v>3569</v>
      </c>
      <c r="U64" s="3200">
        <v>5</v>
      </c>
      <c r="X64" s="3210" t="s">
        <v>3592</v>
      </c>
      <c r="Y64" s="3200">
        <v>1</v>
      </c>
      <c r="AA64" s="3209">
        <v>88.67</v>
      </c>
      <c r="AB64" s="3200">
        <v>15</v>
      </c>
      <c r="AD64" s="3209">
        <v>88.25</v>
      </c>
      <c r="AE64" s="3200">
        <v>5</v>
      </c>
    </row>
    <row r="65" spans="1:31">
      <c r="A65" s="3204">
        <v>64</v>
      </c>
      <c r="B65" s="3204">
        <v>4</v>
      </c>
      <c r="C65" s="3204">
        <v>5</v>
      </c>
      <c r="D65" s="3204">
        <v>3</v>
      </c>
      <c r="E65" s="3204">
        <v>301</v>
      </c>
      <c r="F65" s="3202" t="s">
        <v>3572</v>
      </c>
      <c r="G65" s="3202" t="s">
        <v>3527</v>
      </c>
      <c r="H65" s="3202" t="s">
        <v>3448</v>
      </c>
      <c r="I65" s="3203">
        <v>76.53</v>
      </c>
      <c r="J65" s="3204">
        <v>1</v>
      </c>
      <c r="P65" s="3209">
        <v>89.41</v>
      </c>
      <c r="Q65" s="3200">
        <v>5</v>
      </c>
      <c r="T65" s="3209">
        <v>89.41</v>
      </c>
      <c r="U65" s="3200">
        <v>5</v>
      </c>
      <c r="X65" s="3210" t="s">
        <v>3593</v>
      </c>
      <c r="Y65" s="3200">
        <v>1</v>
      </c>
      <c r="AA65" s="3209">
        <v>88.69</v>
      </c>
      <c r="AB65" s="3200">
        <v>5</v>
      </c>
      <c r="AD65" s="3209">
        <v>88.27</v>
      </c>
      <c r="AE65" s="3200">
        <v>10</v>
      </c>
    </row>
    <row r="66" spans="1:31">
      <c r="A66" s="3204">
        <v>65</v>
      </c>
      <c r="B66" s="3204">
        <v>4</v>
      </c>
      <c r="C66" s="3204">
        <v>5</v>
      </c>
      <c r="D66" s="3204">
        <v>3</v>
      </c>
      <c r="E66" s="3204">
        <v>302</v>
      </c>
      <c r="F66" s="3206" t="s">
        <v>3580</v>
      </c>
      <c r="G66" s="3202" t="s">
        <v>3527</v>
      </c>
      <c r="H66" s="3202" t="s">
        <v>3579</v>
      </c>
      <c r="I66" s="3203">
        <v>68.61</v>
      </c>
      <c r="J66" s="3204">
        <v>1</v>
      </c>
      <c r="P66" s="3211" t="s">
        <v>3569</v>
      </c>
      <c r="Q66" s="3200">
        <v>5</v>
      </c>
      <c r="T66" s="3211" t="s">
        <v>3569</v>
      </c>
      <c r="U66" s="3200">
        <v>5</v>
      </c>
      <c r="X66" s="3210" t="s">
        <v>3594</v>
      </c>
      <c r="Y66" s="3200">
        <v>6</v>
      </c>
      <c r="AA66" s="3209">
        <v>88.73</v>
      </c>
      <c r="AB66" s="3200">
        <v>5</v>
      </c>
      <c r="AD66" s="3209">
        <v>88.29</v>
      </c>
      <c r="AE66" s="3200">
        <v>5</v>
      </c>
    </row>
    <row r="67" spans="1:31">
      <c r="A67" s="3204">
        <v>66</v>
      </c>
      <c r="B67" s="3204">
        <v>4</v>
      </c>
      <c r="C67" s="3204">
        <v>5</v>
      </c>
      <c r="D67" s="3204">
        <v>3</v>
      </c>
      <c r="E67" s="3204">
        <v>303</v>
      </c>
      <c r="F67" s="3206" t="s">
        <v>3582</v>
      </c>
      <c r="G67" s="3202" t="s">
        <v>3581</v>
      </c>
      <c r="H67" s="3202" t="s">
        <v>3547</v>
      </c>
      <c r="I67" s="3203">
        <v>87.48</v>
      </c>
      <c r="J67" s="3204">
        <v>1</v>
      </c>
      <c r="P67" s="3209">
        <v>89.45</v>
      </c>
      <c r="Q67" s="3200">
        <v>5</v>
      </c>
      <c r="T67" s="3209">
        <v>89.45</v>
      </c>
      <c r="U67" s="3200">
        <v>5</v>
      </c>
      <c r="X67" s="3210" t="s">
        <v>3595</v>
      </c>
      <c r="Y67" s="3200">
        <v>5</v>
      </c>
      <c r="AA67" s="3209">
        <v>88.95</v>
      </c>
      <c r="AB67" s="3200">
        <v>5</v>
      </c>
      <c r="AD67" s="3208" t="s">
        <v>3531</v>
      </c>
      <c r="AE67" s="3200">
        <v>30</v>
      </c>
    </row>
    <row r="68" spans="1:31">
      <c r="A68" s="3204">
        <v>67</v>
      </c>
      <c r="B68" s="3204">
        <v>4</v>
      </c>
      <c r="C68" s="3204">
        <v>5</v>
      </c>
      <c r="D68" s="3204">
        <v>4</v>
      </c>
      <c r="E68" s="3204">
        <v>401</v>
      </c>
      <c r="F68" s="3202" t="s">
        <v>3572</v>
      </c>
      <c r="G68" s="3202" t="s">
        <v>3527</v>
      </c>
      <c r="H68" s="3202" t="s">
        <v>3448</v>
      </c>
      <c r="I68" s="3203">
        <v>76.53</v>
      </c>
      <c r="J68" s="3204">
        <v>1</v>
      </c>
      <c r="P68" s="3211" t="s">
        <v>3569</v>
      </c>
      <c r="Q68" s="3200">
        <v>5</v>
      </c>
      <c r="T68" s="3211" t="s">
        <v>3569</v>
      </c>
      <c r="U68" s="3200">
        <v>5</v>
      </c>
      <c r="X68" s="3208" t="s">
        <v>3448</v>
      </c>
      <c r="Y68" s="3200">
        <v>8</v>
      </c>
      <c r="AA68" s="3209">
        <v>89.81</v>
      </c>
      <c r="AB68" s="3200">
        <v>5</v>
      </c>
      <c r="AD68" s="3209">
        <v>88.22</v>
      </c>
      <c r="AE68" s="3200">
        <v>10</v>
      </c>
    </row>
    <row r="69" spans="1:31">
      <c r="A69" s="3204">
        <v>68</v>
      </c>
      <c r="B69" s="3204">
        <v>4</v>
      </c>
      <c r="C69" s="3204">
        <v>5</v>
      </c>
      <c r="D69" s="3204">
        <v>4</v>
      </c>
      <c r="E69" s="3204">
        <v>402</v>
      </c>
      <c r="F69" s="3206" t="s">
        <v>3580</v>
      </c>
      <c r="G69" s="3202" t="s">
        <v>3527</v>
      </c>
      <c r="H69" s="3202" t="s">
        <v>3579</v>
      </c>
      <c r="I69" s="3203">
        <v>68.61</v>
      </c>
      <c r="J69" s="3204">
        <v>1</v>
      </c>
      <c r="P69" s="3208" t="s">
        <v>3448</v>
      </c>
      <c r="Q69" s="3200">
        <v>311</v>
      </c>
      <c r="T69" s="3208" t="s">
        <v>3448</v>
      </c>
      <c r="U69" s="3200">
        <v>311</v>
      </c>
      <c r="X69" s="3210" t="s">
        <v>3596</v>
      </c>
      <c r="Y69" s="3200">
        <v>3</v>
      </c>
      <c r="AA69" s="3208" t="s">
        <v>3578</v>
      </c>
      <c r="AB69" s="3200">
        <v>21</v>
      </c>
      <c r="AD69" s="3209">
        <v>88.46</v>
      </c>
      <c r="AE69" s="3200">
        <v>10</v>
      </c>
    </row>
    <row r="70" spans="1:31">
      <c r="A70" s="3204">
        <v>69</v>
      </c>
      <c r="B70" s="3204">
        <v>4</v>
      </c>
      <c r="C70" s="3204">
        <v>5</v>
      </c>
      <c r="D70" s="3204">
        <v>4</v>
      </c>
      <c r="E70" s="3204">
        <v>403</v>
      </c>
      <c r="F70" s="3206" t="s">
        <v>3582</v>
      </c>
      <c r="G70" s="3202" t="s">
        <v>3581</v>
      </c>
      <c r="H70" s="3202" t="s">
        <v>3547</v>
      </c>
      <c r="I70" s="3203">
        <v>87.48</v>
      </c>
      <c r="J70" s="3204">
        <v>1</v>
      </c>
      <c r="P70" s="3209">
        <v>76.3</v>
      </c>
      <c r="Q70" s="3200">
        <v>10</v>
      </c>
      <c r="T70" s="3209">
        <v>76.3</v>
      </c>
      <c r="U70" s="3200">
        <v>10</v>
      </c>
      <c r="X70" s="3210" t="s">
        <v>3597</v>
      </c>
      <c r="Y70" s="3200">
        <v>5</v>
      </c>
      <c r="AA70" s="3209">
        <v>88.02</v>
      </c>
      <c r="AB70" s="3200">
        <v>6</v>
      </c>
      <c r="AD70" s="3209">
        <v>88.49</v>
      </c>
      <c r="AE70" s="3200">
        <v>10</v>
      </c>
    </row>
    <row r="71" spans="1:31">
      <c r="A71" s="3204">
        <v>70</v>
      </c>
      <c r="B71" s="3204">
        <v>4</v>
      </c>
      <c r="C71" s="3204">
        <v>5</v>
      </c>
      <c r="D71" s="3204">
        <v>5</v>
      </c>
      <c r="E71" s="3204">
        <v>501</v>
      </c>
      <c r="F71" s="3202" t="s">
        <v>3572</v>
      </c>
      <c r="G71" s="3202" t="s">
        <v>3527</v>
      </c>
      <c r="H71" s="3202" t="s">
        <v>3448</v>
      </c>
      <c r="I71" s="3203">
        <v>76.53</v>
      </c>
      <c r="J71" s="3204">
        <v>1</v>
      </c>
      <c r="P71" s="3211" t="s">
        <v>3572</v>
      </c>
      <c r="Q71" s="3200">
        <v>5</v>
      </c>
      <c r="T71" s="3211" t="s">
        <v>3572</v>
      </c>
      <c r="U71" s="3200">
        <v>5</v>
      </c>
      <c r="X71" s="3208" t="s">
        <v>3578</v>
      </c>
      <c r="Y71" s="3200">
        <v>10</v>
      </c>
      <c r="AA71" s="3209">
        <v>88.25</v>
      </c>
      <c r="AB71" s="3200">
        <v>5</v>
      </c>
      <c r="AD71" s="3208" t="s">
        <v>3560</v>
      </c>
      <c r="AE71" s="3200">
        <v>20</v>
      </c>
    </row>
    <row r="72" spans="1:31">
      <c r="A72" s="3204">
        <v>71</v>
      </c>
      <c r="B72" s="3204">
        <v>4</v>
      </c>
      <c r="C72" s="3204">
        <v>5</v>
      </c>
      <c r="D72" s="3204">
        <v>5</v>
      </c>
      <c r="E72" s="3204">
        <v>502</v>
      </c>
      <c r="F72" s="3206" t="s">
        <v>3580</v>
      </c>
      <c r="G72" s="3202" t="s">
        <v>3527</v>
      </c>
      <c r="H72" s="3202" t="s">
        <v>3579</v>
      </c>
      <c r="I72" s="3203">
        <v>68.61</v>
      </c>
      <c r="J72" s="3204">
        <v>1</v>
      </c>
      <c r="P72" s="3211" t="s">
        <v>3573</v>
      </c>
      <c r="Q72" s="3200">
        <v>5</v>
      </c>
      <c r="T72" s="3211" t="s">
        <v>3573</v>
      </c>
      <c r="U72" s="3200">
        <v>5</v>
      </c>
      <c r="X72" s="3210" t="s">
        <v>3598</v>
      </c>
      <c r="Y72" s="3200">
        <v>5</v>
      </c>
      <c r="AA72" s="3209">
        <v>88.29</v>
      </c>
      <c r="AB72" s="3200">
        <v>10</v>
      </c>
      <c r="AD72" s="3209">
        <v>88.22</v>
      </c>
      <c r="AE72" s="3200">
        <v>5</v>
      </c>
    </row>
    <row r="73" spans="1:31">
      <c r="A73" s="3204">
        <v>72</v>
      </c>
      <c r="B73" s="3204">
        <v>4</v>
      </c>
      <c r="C73" s="3204">
        <v>5</v>
      </c>
      <c r="D73" s="3204">
        <v>5</v>
      </c>
      <c r="E73" s="3204">
        <v>503</v>
      </c>
      <c r="F73" s="3206" t="s">
        <v>3582</v>
      </c>
      <c r="G73" s="3202" t="s">
        <v>3581</v>
      </c>
      <c r="H73" s="3202" t="s">
        <v>3547</v>
      </c>
      <c r="I73" s="3203">
        <v>87.48</v>
      </c>
      <c r="J73" s="3204">
        <v>1</v>
      </c>
      <c r="P73" s="3209">
        <v>76.53</v>
      </c>
      <c r="Q73" s="3200">
        <v>5</v>
      </c>
      <c r="T73" s="3209">
        <v>76.53</v>
      </c>
      <c r="U73" s="3200">
        <v>5</v>
      </c>
      <c r="X73" s="3210" t="s">
        <v>3599</v>
      </c>
      <c r="Y73" s="3200">
        <v>5</v>
      </c>
      <c r="AA73" s="3208" t="s">
        <v>3579</v>
      </c>
      <c r="AB73" s="3200">
        <v>10</v>
      </c>
      <c r="AD73" s="3209">
        <v>88.46</v>
      </c>
      <c r="AE73" s="3200">
        <v>10</v>
      </c>
    </row>
    <row r="74" spans="1:31">
      <c r="A74" s="3204">
        <v>73</v>
      </c>
      <c r="B74" s="3204">
        <v>4</v>
      </c>
      <c r="C74" s="3204">
        <v>5</v>
      </c>
      <c r="D74" s="3204">
        <v>6</v>
      </c>
      <c r="E74" s="3204">
        <v>601</v>
      </c>
      <c r="F74" s="3202" t="s">
        <v>3572</v>
      </c>
      <c r="G74" s="3202" t="s">
        <v>3527</v>
      </c>
      <c r="H74" s="3202" t="s">
        <v>3448</v>
      </c>
      <c r="I74" s="3203">
        <v>76.53</v>
      </c>
      <c r="J74" s="3204">
        <v>1</v>
      </c>
      <c r="P74" s="3211" t="s">
        <v>3572</v>
      </c>
      <c r="Q74" s="3200">
        <v>5</v>
      </c>
      <c r="T74" s="3211" t="s">
        <v>3572</v>
      </c>
      <c r="U74" s="3200">
        <v>5</v>
      </c>
      <c r="X74" s="3208" t="s">
        <v>3579</v>
      </c>
      <c r="Y74" s="3200">
        <v>5</v>
      </c>
      <c r="AA74" s="3209">
        <v>68.400000000000006</v>
      </c>
      <c r="AB74" s="3200">
        <v>5</v>
      </c>
      <c r="AD74" s="3209">
        <v>88.49</v>
      </c>
      <c r="AE74" s="3200">
        <v>5</v>
      </c>
    </row>
    <row r="75" spans="1:31">
      <c r="A75" s="3204">
        <v>74</v>
      </c>
      <c r="B75" s="3204">
        <v>4</v>
      </c>
      <c r="C75" s="3204">
        <v>5</v>
      </c>
      <c r="D75" s="3204">
        <v>6</v>
      </c>
      <c r="E75" s="3204">
        <v>602</v>
      </c>
      <c r="F75" s="3206" t="s">
        <v>3580</v>
      </c>
      <c r="G75" s="3202" t="s">
        <v>3527</v>
      </c>
      <c r="H75" s="3202" t="s">
        <v>3579</v>
      </c>
      <c r="I75" s="3203">
        <v>68.61</v>
      </c>
      <c r="J75" s="3204">
        <v>1</v>
      </c>
      <c r="P75" s="3209">
        <v>77.28</v>
      </c>
      <c r="Q75" s="3200">
        <v>5</v>
      </c>
      <c r="T75" s="3209">
        <v>77.28</v>
      </c>
      <c r="U75" s="3200">
        <v>5</v>
      </c>
      <c r="X75" s="3210" t="s">
        <v>3600</v>
      </c>
      <c r="Y75" s="3200">
        <v>5</v>
      </c>
      <c r="AA75" s="3209">
        <v>68.61</v>
      </c>
      <c r="AB75" s="3200">
        <v>5</v>
      </c>
      <c r="AD75" s="3208" t="s">
        <v>3539</v>
      </c>
      <c r="AE75" s="3200">
        <v>77</v>
      </c>
    </row>
    <row r="76" spans="1:31">
      <c r="A76" s="3204">
        <v>75</v>
      </c>
      <c r="B76" s="3204">
        <v>4</v>
      </c>
      <c r="C76" s="3204">
        <v>5</v>
      </c>
      <c r="D76" s="3204">
        <v>6</v>
      </c>
      <c r="E76" s="3204">
        <v>603</v>
      </c>
      <c r="F76" s="3206" t="s">
        <v>3582</v>
      </c>
      <c r="G76" s="3202" t="s">
        <v>3581</v>
      </c>
      <c r="H76" s="3202" t="s">
        <v>3547</v>
      </c>
      <c r="I76" s="3203">
        <v>87.48</v>
      </c>
      <c r="J76" s="3204">
        <v>1</v>
      </c>
      <c r="P76" s="3211" t="s">
        <v>3571</v>
      </c>
      <c r="Q76" s="3200">
        <v>5</v>
      </c>
      <c r="T76" s="3211" t="s">
        <v>3571</v>
      </c>
      <c r="U76" s="3200">
        <v>5</v>
      </c>
      <c r="X76" s="3207" t="s">
        <v>3601</v>
      </c>
      <c r="Y76" s="3200">
        <v>653</v>
      </c>
      <c r="AA76" s="3207" t="s">
        <v>3581</v>
      </c>
      <c r="AB76" s="3200">
        <v>20</v>
      </c>
      <c r="AD76" s="3209">
        <v>85.39</v>
      </c>
      <c r="AE76" s="3200">
        <v>18</v>
      </c>
    </row>
    <row r="77" spans="1:31">
      <c r="A77" s="3204">
        <v>76</v>
      </c>
      <c r="B77" s="3204">
        <v>4</v>
      </c>
      <c r="C77" s="3204">
        <v>6</v>
      </c>
      <c r="D77" s="3204">
        <v>2</v>
      </c>
      <c r="E77" s="3204">
        <v>201</v>
      </c>
      <c r="F77" s="3206" t="s">
        <v>113</v>
      </c>
      <c r="G77" s="3202" t="s">
        <v>3527</v>
      </c>
      <c r="H77" s="3202" t="s">
        <v>3547</v>
      </c>
      <c r="I77" s="3203">
        <v>88.84</v>
      </c>
      <c r="J77" s="3204">
        <v>1</v>
      </c>
      <c r="P77" s="3209">
        <v>77.52</v>
      </c>
      <c r="Q77" s="3200">
        <v>5</v>
      </c>
      <c r="T77" s="3209">
        <v>77.52</v>
      </c>
      <c r="U77" s="3200">
        <v>5</v>
      </c>
      <c r="AA77" s="3208" t="s">
        <v>3547</v>
      </c>
      <c r="AB77" s="3200">
        <v>15</v>
      </c>
      <c r="AD77" s="3209">
        <v>85.98</v>
      </c>
      <c r="AE77" s="3200">
        <v>17</v>
      </c>
    </row>
    <row r="78" spans="1:31">
      <c r="A78" s="3204">
        <v>77</v>
      </c>
      <c r="B78" s="3204">
        <v>4</v>
      </c>
      <c r="C78" s="3204">
        <v>6</v>
      </c>
      <c r="D78" s="3204">
        <v>2</v>
      </c>
      <c r="E78" s="3204">
        <v>202</v>
      </c>
      <c r="F78" s="3206" t="s">
        <v>409</v>
      </c>
      <c r="G78" s="3202" t="s">
        <v>3527</v>
      </c>
      <c r="H78" s="3202" t="s">
        <v>3578</v>
      </c>
      <c r="I78" s="3203">
        <v>88.29</v>
      </c>
      <c r="J78" s="3204">
        <v>1</v>
      </c>
      <c r="P78" s="3211" t="s">
        <v>3571</v>
      </c>
      <c r="Q78" s="3200">
        <v>5</v>
      </c>
      <c r="T78" s="3211" t="s">
        <v>3571</v>
      </c>
      <c r="U78" s="3200">
        <v>5</v>
      </c>
      <c r="AA78" s="3209">
        <v>87.21</v>
      </c>
      <c r="AB78" s="3200">
        <v>10</v>
      </c>
      <c r="AD78" s="3209">
        <v>86.13</v>
      </c>
      <c r="AE78" s="3200">
        <v>1</v>
      </c>
    </row>
    <row r="79" spans="1:31">
      <c r="A79" s="3204">
        <v>78</v>
      </c>
      <c r="B79" s="3204">
        <v>4</v>
      </c>
      <c r="C79" s="3204">
        <v>6</v>
      </c>
      <c r="D79" s="3204">
        <v>2</v>
      </c>
      <c r="E79" s="3204">
        <v>203</v>
      </c>
      <c r="F79" s="3206" t="s">
        <v>404</v>
      </c>
      <c r="G79" s="3202" t="s">
        <v>3527</v>
      </c>
      <c r="H79" s="3202" t="s">
        <v>3547</v>
      </c>
      <c r="I79" s="3203">
        <v>85.14</v>
      </c>
      <c r="J79" s="3204">
        <v>1</v>
      </c>
      <c r="P79" s="3209">
        <v>79.17</v>
      </c>
      <c r="Q79" s="3200">
        <v>1</v>
      </c>
      <c r="T79" s="3209">
        <v>79.17</v>
      </c>
      <c r="U79" s="3200">
        <v>1</v>
      </c>
      <c r="AA79" s="3209">
        <v>87.48</v>
      </c>
      <c r="AB79" s="3200">
        <v>5</v>
      </c>
      <c r="AD79" s="3209">
        <v>88.02</v>
      </c>
      <c r="AE79" s="3200">
        <v>11</v>
      </c>
    </row>
    <row r="80" spans="1:31">
      <c r="A80" s="3204">
        <v>79</v>
      </c>
      <c r="B80" s="3204">
        <v>4</v>
      </c>
      <c r="C80" s="3204">
        <v>6</v>
      </c>
      <c r="D80" s="3204">
        <v>3</v>
      </c>
      <c r="E80" s="3204">
        <v>301</v>
      </c>
      <c r="F80" s="3206" t="s">
        <v>113</v>
      </c>
      <c r="G80" s="3202" t="s">
        <v>3527</v>
      </c>
      <c r="H80" s="3202" t="s">
        <v>3547</v>
      </c>
      <c r="I80" s="3203">
        <v>88.84</v>
      </c>
      <c r="J80" s="3204">
        <v>1</v>
      </c>
      <c r="P80" s="3211" t="s">
        <v>3570</v>
      </c>
      <c r="Q80" s="3200">
        <v>1</v>
      </c>
      <c r="T80" s="3211" t="s">
        <v>3570</v>
      </c>
      <c r="U80" s="3200">
        <v>1</v>
      </c>
      <c r="AA80" s="3208" t="s">
        <v>3532</v>
      </c>
      <c r="AB80" s="3200">
        <v>5</v>
      </c>
      <c r="AD80" s="3209">
        <v>88.14</v>
      </c>
      <c r="AE80" s="3200">
        <v>5</v>
      </c>
    </row>
    <row r="81" spans="1:31">
      <c r="A81" s="3204">
        <v>80</v>
      </c>
      <c r="B81" s="3204">
        <v>4</v>
      </c>
      <c r="C81" s="3204">
        <v>6</v>
      </c>
      <c r="D81" s="3204">
        <v>3</v>
      </c>
      <c r="E81" s="3204">
        <v>302</v>
      </c>
      <c r="F81" s="3206" t="s">
        <v>409</v>
      </c>
      <c r="G81" s="3202" t="s">
        <v>3527</v>
      </c>
      <c r="H81" s="3202" t="s">
        <v>3578</v>
      </c>
      <c r="I81" s="3203">
        <v>88.29</v>
      </c>
      <c r="J81" s="3204">
        <v>1</v>
      </c>
      <c r="P81" s="3209">
        <v>81.88</v>
      </c>
      <c r="Q81" s="3200">
        <v>5</v>
      </c>
      <c r="T81" s="3209">
        <v>81.88</v>
      </c>
      <c r="U81" s="3200">
        <v>5</v>
      </c>
      <c r="AA81" s="3209">
        <v>88.2</v>
      </c>
      <c r="AB81" s="3200">
        <v>5</v>
      </c>
      <c r="AD81" s="3209">
        <v>88.25</v>
      </c>
      <c r="AE81" s="3200">
        <v>5</v>
      </c>
    </row>
    <row r="82" spans="1:31">
      <c r="A82" s="3204">
        <v>81</v>
      </c>
      <c r="B82" s="3204">
        <v>4</v>
      </c>
      <c r="C82" s="3204">
        <v>6</v>
      </c>
      <c r="D82" s="3204">
        <v>3</v>
      </c>
      <c r="E82" s="3204">
        <v>303</v>
      </c>
      <c r="F82" s="3206" t="s">
        <v>404</v>
      </c>
      <c r="G82" s="3202" t="s">
        <v>3527</v>
      </c>
      <c r="H82" s="3202" t="s">
        <v>3547</v>
      </c>
      <c r="I82" s="3203">
        <v>85.14</v>
      </c>
      <c r="J82" s="3204">
        <v>1</v>
      </c>
      <c r="P82" s="3211" t="s">
        <v>3576</v>
      </c>
      <c r="Q82" s="3200">
        <v>5</v>
      </c>
      <c r="T82" s="3211" t="s">
        <v>3576</v>
      </c>
      <c r="U82" s="3200">
        <v>5</v>
      </c>
      <c r="AA82" s="3207" t="s">
        <v>3585</v>
      </c>
      <c r="AB82" s="3200">
        <v>67</v>
      </c>
      <c r="AD82" s="3209">
        <v>88.27</v>
      </c>
      <c r="AE82" s="3200">
        <v>10</v>
      </c>
    </row>
    <row r="83" spans="1:31">
      <c r="A83" s="3204">
        <v>82</v>
      </c>
      <c r="B83" s="3204">
        <v>4</v>
      </c>
      <c r="C83" s="3204">
        <v>6</v>
      </c>
      <c r="D83" s="3204">
        <v>4</v>
      </c>
      <c r="E83" s="3204">
        <v>401</v>
      </c>
      <c r="F83" s="3206" t="s">
        <v>113</v>
      </c>
      <c r="G83" s="3202" t="s">
        <v>3527</v>
      </c>
      <c r="H83" s="3202" t="s">
        <v>3547</v>
      </c>
      <c r="I83" s="3203">
        <v>88.84</v>
      </c>
      <c r="J83" s="3204">
        <v>1</v>
      </c>
      <c r="P83" s="3209">
        <v>82.26</v>
      </c>
      <c r="Q83" s="3200">
        <v>15</v>
      </c>
      <c r="T83" s="3209">
        <v>82.26</v>
      </c>
      <c r="U83" s="3200">
        <v>15</v>
      </c>
      <c r="AA83" s="3208" t="s">
        <v>3536</v>
      </c>
      <c r="AB83" s="3200">
        <v>15</v>
      </c>
      <c r="AD83" s="3209">
        <v>88.29</v>
      </c>
      <c r="AE83" s="3200">
        <v>5</v>
      </c>
    </row>
    <row r="84" spans="1:31">
      <c r="A84" s="3204">
        <v>83</v>
      </c>
      <c r="B84" s="3204">
        <v>4</v>
      </c>
      <c r="C84" s="3204">
        <v>6</v>
      </c>
      <c r="D84" s="3204">
        <v>4</v>
      </c>
      <c r="E84" s="3204">
        <v>402</v>
      </c>
      <c r="F84" s="3206" t="s">
        <v>409</v>
      </c>
      <c r="G84" s="3202" t="s">
        <v>3527</v>
      </c>
      <c r="H84" s="3202" t="s">
        <v>3578</v>
      </c>
      <c r="I84" s="3203">
        <v>88.29</v>
      </c>
      <c r="J84" s="3204">
        <v>1</v>
      </c>
      <c r="P84" s="3211" t="s">
        <v>3534</v>
      </c>
      <c r="Q84" s="3200">
        <v>10</v>
      </c>
      <c r="T84" s="3211" t="s">
        <v>3534</v>
      </c>
      <c r="U84" s="3200">
        <v>10</v>
      </c>
      <c r="AA84" s="3209">
        <v>54.89</v>
      </c>
      <c r="AB84" s="3200">
        <v>5</v>
      </c>
      <c r="AD84" s="3209">
        <v>88.41</v>
      </c>
      <c r="AE84" s="3200">
        <v>5</v>
      </c>
    </row>
    <row r="85" spans="1:31">
      <c r="A85" s="3204">
        <v>84</v>
      </c>
      <c r="B85" s="3204">
        <v>4</v>
      </c>
      <c r="C85" s="3204">
        <v>6</v>
      </c>
      <c r="D85" s="3204">
        <v>4</v>
      </c>
      <c r="E85" s="3204">
        <v>403</v>
      </c>
      <c r="F85" s="3206" t="s">
        <v>404</v>
      </c>
      <c r="G85" s="3202" t="s">
        <v>3527</v>
      </c>
      <c r="H85" s="3202" t="s">
        <v>3547</v>
      </c>
      <c r="I85" s="3203">
        <v>85.14</v>
      </c>
      <c r="J85" s="3204">
        <v>1</v>
      </c>
      <c r="P85" s="3211" t="s">
        <v>3552</v>
      </c>
      <c r="Q85" s="3200">
        <v>5</v>
      </c>
      <c r="T85" s="3211" t="s">
        <v>3552</v>
      </c>
      <c r="U85" s="3200">
        <v>5</v>
      </c>
      <c r="AA85" s="3209">
        <v>60.07</v>
      </c>
      <c r="AB85" s="3200">
        <v>5</v>
      </c>
      <c r="AD85" s="3208" t="s">
        <v>3571</v>
      </c>
      <c r="AE85" s="3200">
        <v>10</v>
      </c>
    </row>
    <row r="86" spans="1:31">
      <c r="A86" s="3204">
        <v>85</v>
      </c>
      <c r="B86" s="3204">
        <v>4</v>
      </c>
      <c r="C86" s="3204">
        <v>6</v>
      </c>
      <c r="D86" s="3204">
        <v>5</v>
      </c>
      <c r="E86" s="3204">
        <v>501</v>
      </c>
      <c r="F86" s="3206" t="s">
        <v>113</v>
      </c>
      <c r="G86" s="3202" t="s">
        <v>3527</v>
      </c>
      <c r="H86" s="3202" t="s">
        <v>3547</v>
      </c>
      <c r="I86" s="3203">
        <v>88.84</v>
      </c>
      <c r="J86" s="3204">
        <v>1</v>
      </c>
      <c r="P86" s="3209">
        <v>82.34</v>
      </c>
      <c r="Q86" s="3200">
        <v>24</v>
      </c>
      <c r="T86" s="3209">
        <v>82.34</v>
      </c>
      <c r="U86" s="3200">
        <v>24</v>
      </c>
      <c r="AA86" s="3209">
        <v>62.2</v>
      </c>
      <c r="AB86" s="3200">
        <v>5</v>
      </c>
      <c r="AD86" s="3209">
        <v>77.28</v>
      </c>
      <c r="AE86" s="3200">
        <v>5</v>
      </c>
    </row>
    <row r="87" spans="1:31">
      <c r="A87" s="3204">
        <v>86</v>
      </c>
      <c r="B87" s="3204">
        <v>4</v>
      </c>
      <c r="C87" s="3204">
        <v>6</v>
      </c>
      <c r="D87" s="3204">
        <v>5</v>
      </c>
      <c r="E87" s="3204">
        <v>502</v>
      </c>
      <c r="F87" s="3206" t="s">
        <v>409</v>
      </c>
      <c r="G87" s="3202" t="s">
        <v>3527</v>
      </c>
      <c r="H87" s="3202" t="s">
        <v>3578</v>
      </c>
      <c r="I87" s="3203">
        <v>88.29</v>
      </c>
      <c r="J87" s="3204">
        <v>1</v>
      </c>
      <c r="P87" s="3211" t="s">
        <v>404</v>
      </c>
      <c r="Q87" s="3200">
        <v>12</v>
      </c>
      <c r="T87" s="3211" t="s">
        <v>404</v>
      </c>
      <c r="U87" s="3200">
        <v>12</v>
      </c>
      <c r="AA87" s="3208" t="s">
        <v>3543</v>
      </c>
      <c r="AB87" s="3200">
        <v>10</v>
      </c>
      <c r="AD87" s="3209">
        <v>77.52</v>
      </c>
      <c r="AE87" s="3200">
        <v>5</v>
      </c>
    </row>
    <row r="88" spans="1:31">
      <c r="A88" s="3204">
        <v>87</v>
      </c>
      <c r="B88" s="3204">
        <v>4</v>
      </c>
      <c r="C88" s="3204">
        <v>6</v>
      </c>
      <c r="D88" s="3204">
        <v>5</v>
      </c>
      <c r="E88" s="3204">
        <v>503</v>
      </c>
      <c r="F88" s="3206" t="s">
        <v>404</v>
      </c>
      <c r="G88" s="3202" t="s">
        <v>3527</v>
      </c>
      <c r="H88" s="3202" t="s">
        <v>3547</v>
      </c>
      <c r="I88" s="3203">
        <v>85.14</v>
      </c>
      <c r="J88" s="3204">
        <v>1</v>
      </c>
      <c r="P88" s="3211" t="s">
        <v>3554</v>
      </c>
      <c r="Q88" s="3200">
        <v>12</v>
      </c>
      <c r="T88" s="3211" t="s">
        <v>3554</v>
      </c>
      <c r="U88" s="3200">
        <v>12</v>
      </c>
      <c r="AA88" s="3209">
        <v>62.89</v>
      </c>
      <c r="AB88" s="3200">
        <v>10</v>
      </c>
      <c r="AD88" s="3208" t="s">
        <v>3572</v>
      </c>
      <c r="AE88" s="3200">
        <v>10</v>
      </c>
    </row>
    <row r="89" spans="1:31">
      <c r="A89" s="3204">
        <v>88</v>
      </c>
      <c r="B89" s="3204">
        <v>4</v>
      </c>
      <c r="C89" s="3204">
        <v>6</v>
      </c>
      <c r="D89" s="3204">
        <v>6</v>
      </c>
      <c r="E89" s="3204">
        <v>601</v>
      </c>
      <c r="F89" s="3206" t="s">
        <v>113</v>
      </c>
      <c r="G89" s="3202" t="s">
        <v>3527</v>
      </c>
      <c r="H89" s="3202" t="s">
        <v>3547</v>
      </c>
      <c r="I89" s="3203">
        <v>88.84</v>
      </c>
      <c r="J89" s="3204">
        <v>1</v>
      </c>
      <c r="P89" s="3209">
        <v>82.48</v>
      </c>
      <c r="Q89" s="3200">
        <v>20</v>
      </c>
      <c r="T89" s="3209">
        <v>82.48</v>
      </c>
      <c r="U89" s="3200">
        <v>20</v>
      </c>
      <c r="AA89" s="3208" t="s">
        <v>3547</v>
      </c>
      <c r="AB89" s="3200">
        <v>5</v>
      </c>
      <c r="AD89" s="3209">
        <v>76.3</v>
      </c>
      <c r="AE89" s="3200">
        <v>5</v>
      </c>
    </row>
    <row r="90" spans="1:31">
      <c r="A90" s="3204">
        <v>89</v>
      </c>
      <c r="B90" s="3204">
        <v>4</v>
      </c>
      <c r="C90" s="3204">
        <v>6</v>
      </c>
      <c r="D90" s="3204">
        <v>6</v>
      </c>
      <c r="E90" s="3204">
        <v>602</v>
      </c>
      <c r="F90" s="3206" t="s">
        <v>409</v>
      </c>
      <c r="G90" s="3202" t="s">
        <v>3527</v>
      </c>
      <c r="H90" s="3202" t="s">
        <v>3578</v>
      </c>
      <c r="I90" s="3203">
        <v>88.29</v>
      </c>
      <c r="J90" s="3204">
        <v>1</v>
      </c>
      <c r="P90" s="3211" t="s">
        <v>3534</v>
      </c>
      <c r="Q90" s="3200">
        <v>10</v>
      </c>
      <c r="T90" s="3211" t="s">
        <v>3534</v>
      </c>
      <c r="U90" s="3200">
        <v>10</v>
      </c>
      <c r="AA90" s="3209">
        <v>55.66</v>
      </c>
      <c r="AB90" s="3200">
        <v>5</v>
      </c>
      <c r="AD90" s="3209">
        <v>76.53</v>
      </c>
      <c r="AE90" s="3200">
        <v>5</v>
      </c>
    </row>
    <row r="91" spans="1:31">
      <c r="A91" s="3204">
        <v>90</v>
      </c>
      <c r="B91" s="3204">
        <v>4</v>
      </c>
      <c r="C91" s="3204">
        <v>6</v>
      </c>
      <c r="D91" s="3204">
        <v>6</v>
      </c>
      <c r="E91" s="3204">
        <v>603</v>
      </c>
      <c r="F91" s="3206" t="s">
        <v>404</v>
      </c>
      <c r="G91" s="3202" t="s">
        <v>3527</v>
      </c>
      <c r="H91" s="3202" t="s">
        <v>3547</v>
      </c>
      <c r="I91" s="3203">
        <v>85.14</v>
      </c>
      <c r="J91" s="3204">
        <v>1</v>
      </c>
      <c r="P91" s="3211" t="s">
        <v>3552</v>
      </c>
      <c r="Q91" s="3200">
        <v>10</v>
      </c>
      <c r="T91" s="3211" t="s">
        <v>3552</v>
      </c>
      <c r="U91" s="3200">
        <v>10</v>
      </c>
      <c r="AA91" s="3208" t="s">
        <v>3532</v>
      </c>
      <c r="AB91" s="3200">
        <v>14</v>
      </c>
      <c r="AD91" s="3208" t="s">
        <v>3573</v>
      </c>
      <c r="AE91" s="3200">
        <v>5</v>
      </c>
    </row>
    <row r="92" spans="1:31">
      <c r="A92" s="3204">
        <v>91</v>
      </c>
      <c r="B92" s="3204">
        <v>4</v>
      </c>
      <c r="C92" s="3204">
        <v>7</v>
      </c>
      <c r="D92" s="3204">
        <v>2</v>
      </c>
      <c r="E92" s="3204">
        <v>201</v>
      </c>
      <c r="F92" s="3202" t="s">
        <v>3554</v>
      </c>
      <c r="G92" s="3202" t="s">
        <v>3527</v>
      </c>
      <c r="H92" s="3202" t="s">
        <v>3547</v>
      </c>
      <c r="I92" s="3203">
        <v>85.14</v>
      </c>
      <c r="J92" s="3204">
        <v>1</v>
      </c>
      <c r="P92" s="3209">
        <v>82.51</v>
      </c>
      <c r="Q92" s="3200">
        <v>15</v>
      </c>
      <c r="T92" s="3209">
        <v>82.51</v>
      </c>
      <c r="U92" s="3200">
        <v>15</v>
      </c>
      <c r="AA92" s="3209">
        <v>64.930000000000007</v>
      </c>
      <c r="AB92" s="3200">
        <v>1</v>
      </c>
      <c r="AD92" s="3209">
        <v>76.3</v>
      </c>
      <c r="AE92" s="3200">
        <v>5</v>
      </c>
    </row>
    <row r="93" spans="1:31">
      <c r="A93" s="3204">
        <v>92</v>
      </c>
      <c r="B93" s="3204">
        <v>4</v>
      </c>
      <c r="C93" s="3204">
        <v>7</v>
      </c>
      <c r="D93" s="3204">
        <v>2</v>
      </c>
      <c r="E93" s="3204">
        <v>202</v>
      </c>
      <c r="F93" s="3206" t="s">
        <v>3539</v>
      </c>
      <c r="G93" s="3202" t="s">
        <v>3527</v>
      </c>
      <c r="H93" s="3202" t="s">
        <v>3578</v>
      </c>
      <c r="I93" s="3203">
        <v>88.29</v>
      </c>
      <c r="J93" s="3204">
        <v>1</v>
      </c>
      <c r="P93" s="3211" t="s">
        <v>3534</v>
      </c>
      <c r="Q93" s="3200">
        <v>10</v>
      </c>
      <c r="T93" s="3211" t="s">
        <v>3534</v>
      </c>
      <c r="U93" s="3200">
        <v>10</v>
      </c>
      <c r="AA93" s="3209">
        <v>68.099999999999994</v>
      </c>
      <c r="AB93" s="3200">
        <v>6</v>
      </c>
      <c r="AD93" s="3208" t="s">
        <v>3580</v>
      </c>
      <c r="AE93" s="3200">
        <v>10</v>
      </c>
    </row>
    <row r="94" spans="1:31">
      <c r="A94" s="3204">
        <v>93</v>
      </c>
      <c r="B94" s="3204">
        <v>4</v>
      </c>
      <c r="C94" s="3204">
        <v>7</v>
      </c>
      <c r="D94" s="3204">
        <v>2</v>
      </c>
      <c r="E94" s="3204">
        <v>203</v>
      </c>
      <c r="F94" s="3206" t="s">
        <v>3569</v>
      </c>
      <c r="G94" s="3202" t="s">
        <v>3527</v>
      </c>
      <c r="H94" s="3202" t="s">
        <v>3532</v>
      </c>
      <c r="I94" s="3203">
        <v>89.45</v>
      </c>
      <c r="J94" s="3204">
        <v>1</v>
      </c>
      <c r="P94" s="3211" t="s">
        <v>3552</v>
      </c>
      <c r="Q94" s="3200">
        <v>5</v>
      </c>
      <c r="T94" s="3211" t="s">
        <v>3552</v>
      </c>
      <c r="U94" s="3200">
        <v>5</v>
      </c>
      <c r="AA94" s="3209">
        <v>69.92</v>
      </c>
      <c r="AB94" s="3200">
        <v>5</v>
      </c>
      <c r="AD94" s="3209">
        <v>68.400000000000006</v>
      </c>
      <c r="AE94" s="3200">
        <v>5</v>
      </c>
    </row>
    <row r="95" spans="1:31">
      <c r="A95" s="3204">
        <v>94</v>
      </c>
      <c r="B95" s="3204">
        <v>4</v>
      </c>
      <c r="C95" s="3204">
        <v>7</v>
      </c>
      <c r="D95" s="3204">
        <v>3</v>
      </c>
      <c r="E95" s="3204">
        <v>301</v>
      </c>
      <c r="F95" s="3202" t="s">
        <v>3554</v>
      </c>
      <c r="G95" s="3202" t="s">
        <v>3527</v>
      </c>
      <c r="H95" s="3202" t="s">
        <v>3547</v>
      </c>
      <c r="I95" s="3203">
        <v>85.14</v>
      </c>
      <c r="J95" s="3204">
        <v>1</v>
      </c>
      <c r="P95" s="3209">
        <v>82.91</v>
      </c>
      <c r="Q95" s="3200">
        <v>12</v>
      </c>
      <c r="T95" s="3209">
        <v>82.91</v>
      </c>
      <c r="U95" s="3200">
        <v>12</v>
      </c>
      <c r="AA95" s="3209">
        <v>72.83</v>
      </c>
      <c r="AB95" s="3200">
        <v>1</v>
      </c>
      <c r="AD95" s="3209">
        <v>68.61</v>
      </c>
      <c r="AE95" s="3200">
        <v>5</v>
      </c>
    </row>
    <row r="96" spans="1:31">
      <c r="A96" s="3204">
        <v>95</v>
      </c>
      <c r="B96" s="3204">
        <v>4</v>
      </c>
      <c r="C96" s="3204">
        <v>7</v>
      </c>
      <c r="D96" s="3204">
        <v>3</v>
      </c>
      <c r="E96" s="3204">
        <v>302</v>
      </c>
      <c r="F96" s="3206" t="s">
        <v>3539</v>
      </c>
      <c r="G96" s="3202" t="s">
        <v>3527</v>
      </c>
      <c r="H96" s="3202" t="s">
        <v>3578</v>
      </c>
      <c r="I96" s="3203">
        <v>88.29</v>
      </c>
      <c r="J96" s="3204">
        <v>1</v>
      </c>
      <c r="P96" s="3211" t="s">
        <v>404</v>
      </c>
      <c r="Q96" s="3200">
        <v>6</v>
      </c>
      <c r="T96" s="3211" t="s">
        <v>404</v>
      </c>
      <c r="U96" s="3200">
        <v>6</v>
      </c>
      <c r="AA96" s="3209">
        <v>73.010000000000005</v>
      </c>
      <c r="AB96" s="3200">
        <v>1</v>
      </c>
      <c r="AD96" s="3208" t="s">
        <v>3545</v>
      </c>
      <c r="AE96" s="3200">
        <v>5</v>
      </c>
    </row>
    <row r="97" spans="1:31">
      <c r="A97" s="3204">
        <v>96</v>
      </c>
      <c r="B97" s="3204">
        <v>4</v>
      </c>
      <c r="C97" s="3204">
        <v>7</v>
      </c>
      <c r="D97" s="3204">
        <v>3</v>
      </c>
      <c r="E97" s="3204">
        <v>303</v>
      </c>
      <c r="F97" s="3206" t="s">
        <v>3569</v>
      </c>
      <c r="G97" s="3202" t="s">
        <v>3527</v>
      </c>
      <c r="H97" s="3202" t="s">
        <v>3532</v>
      </c>
      <c r="I97" s="3203">
        <v>89.45</v>
      </c>
      <c r="J97" s="3204">
        <v>1</v>
      </c>
      <c r="P97" s="3211" t="s">
        <v>3554</v>
      </c>
      <c r="Q97" s="3200">
        <v>6</v>
      </c>
      <c r="T97" s="3211" t="s">
        <v>3554</v>
      </c>
      <c r="U97" s="3200">
        <v>6</v>
      </c>
      <c r="AA97" s="3208" t="s">
        <v>3448</v>
      </c>
      <c r="AB97" s="3200">
        <v>8</v>
      </c>
      <c r="AD97" s="3209">
        <v>68.400000000000006</v>
      </c>
      <c r="AE97" s="3200">
        <v>5</v>
      </c>
    </row>
    <row r="98" spans="1:31">
      <c r="A98" s="3204">
        <v>97</v>
      </c>
      <c r="B98" s="3204">
        <v>4</v>
      </c>
      <c r="C98" s="3204">
        <v>7</v>
      </c>
      <c r="D98" s="3204">
        <v>4</v>
      </c>
      <c r="E98" s="3204">
        <v>401</v>
      </c>
      <c r="F98" s="3202" t="s">
        <v>3554</v>
      </c>
      <c r="G98" s="3202" t="s">
        <v>3527</v>
      </c>
      <c r="H98" s="3202" t="s">
        <v>3547</v>
      </c>
      <c r="I98" s="3203">
        <v>85.14</v>
      </c>
      <c r="J98" s="3204">
        <v>1</v>
      </c>
      <c r="P98" s="3209">
        <v>83.07</v>
      </c>
      <c r="Q98" s="3200">
        <v>6</v>
      </c>
      <c r="T98" s="3209">
        <v>83.07</v>
      </c>
      <c r="U98" s="3200">
        <v>6</v>
      </c>
      <c r="AA98" s="3209">
        <v>67.92</v>
      </c>
      <c r="AB98" s="3200">
        <v>4</v>
      </c>
      <c r="AD98" s="3208" t="s">
        <v>3567</v>
      </c>
      <c r="AE98" s="3200">
        <v>5</v>
      </c>
    </row>
    <row r="99" spans="1:31">
      <c r="A99" s="3204">
        <v>98</v>
      </c>
      <c r="B99" s="3204">
        <v>4</v>
      </c>
      <c r="C99" s="3204">
        <v>7</v>
      </c>
      <c r="D99" s="3204">
        <v>4</v>
      </c>
      <c r="E99" s="3204">
        <v>402</v>
      </c>
      <c r="F99" s="3206" t="s">
        <v>3539</v>
      </c>
      <c r="G99" s="3202" t="s">
        <v>3527</v>
      </c>
      <c r="H99" s="3202" t="s">
        <v>3578</v>
      </c>
      <c r="I99" s="3203">
        <v>88.29</v>
      </c>
      <c r="J99" s="3204">
        <v>1</v>
      </c>
      <c r="P99" s="3211" t="s">
        <v>3554</v>
      </c>
      <c r="Q99" s="3200">
        <v>6</v>
      </c>
      <c r="T99" s="3211" t="s">
        <v>3554</v>
      </c>
      <c r="U99" s="3200">
        <v>6</v>
      </c>
      <c r="AA99" s="3209">
        <v>68.39</v>
      </c>
      <c r="AB99" s="3200">
        <v>3</v>
      </c>
      <c r="AD99" s="3209">
        <v>89.17</v>
      </c>
      <c r="AE99" s="3200">
        <v>5</v>
      </c>
    </row>
    <row r="100" spans="1:31">
      <c r="A100" s="3204">
        <v>99</v>
      </c>
      <c r="B100" s="3204">
        <v>4</v>
      </c>
      <c r="C100" s="3204">
        <v>7</v>
      </c>
      <c r="D100" s="3204">
        <v>4</v>
      </c>
      <c r="E100" s="3204">
        <v>403</v>
      </c>
      <c r="F100" s="3206" t="s">
        <v>3569</v>
      </c>
      <c r="G100" s="3202" t="s">
        <v>3527</v>
      </c>
      <c r="H100" s="3202" t="s">
        <v>3532</v>
      </c>
      <c r="I100" s="3203">
        <v>89.45</v>
      </c>
      <c r="J100" s="3204">
        <v>1</v>
      </c>
      <c r="P100" s="3209">
        <v>83.65</v>
      </c>
      <c r="Q100" s="3200">
        <v>6</v>
      </c>
      <c r="T100" s="3209">
        <v>83.65</v>
      </c>
      <c r="U100" s="3200">
        <v>6</v>
      </c>
      <c r="AA100" s="3209">
        <v>68.67</v>
      </c>
      <c r="AB100" s="3200">
        <v>1</v>
      </c>
      <c r="AD100" s="3208" t="s">
        <v>3569</v>
      </c>
      <c r="AE100" s="3200">
        <v>15</v>
      </c>
    </row>
    <row r="101" spans="1:31">
      <c r="A101" s="3204">
        <v>100</v>
      </c>
      <c r="B101" s="3204">
        <v>4</v>
      </c>
      <c r="C101" s="3204">
        <v>7</v>
      </c>
      <c r="D101" s="3204">
        <v>5</v>
      </c>
      <c r="E101" s="3204">
        <v>501</v>
      </c>
      <c r="F101" s="3202" t="s">
        <v>3554</v>
      </c>
      <c r="G101" s="3202" t="s">
        <v>3527</v>
      </c>
      <c r="H101" s="3202" t="s">
        <v>3547</v>
      </c>
      <c r="I101" s="3203">
        <v>85.14</v>
      </c>
      <c r="J101" s="3204">
        <v>1</v>
      </c>
      <c r="P101" s="3211" t="s">
        <v>3554</v>
      </c>
      <c r="Q101" s="3200">
        <v>6</v>
      </c>
      <c r="T101" s="3211" t="s">
        <v>3554</v>
      </c>
      <c r="U101" s="3200">
        <v>6</v>
      </c>
      <c r="AA101" s="3208" t="s">
        <v>3578</v>
      </c>
      <c r="AB101" s="3200">
        <v>10</v>
      </c>
      <c r="AD101" s="3209">
        <v>89.17</v>
      </c>
      <c r="AE101" s="3200">
        <v>5</v>
      </c>
    </row>
    <row r="102" spans="1:31">
      <c r="A102" s="3204">
        <v>101</v>
      </c>
      <c r="B102" s="3204">
        <v>4</v>
      </c>
      <c r="C102" s="3204">
        <v>7</v>
      </c>
      <c r="D102" s="3204">
        <v>5</v>
      </c>
      <c r="E102" s="3204">
        <v>502</v>
      </c>
      <c r="F102" s="3206" t="s">
        <v>3539</v>
      </c>
      <c r="G102" s="3202" t="s">
        <v>3527</v>
      </c>
      <c r="H102" s="3202" t="s">
        <v>3578</v>
      </c>
      <c r="I102" s="3203">
        <v>88.29</v>
      </c>
      <c r="J102" s="3204">
        <v>1</v>
      </c>
      <c r="P102" s="3209">
        <v>84.88</v>
      </c>
      <c r="Q102" s="3200">
        <v>5</v>
      </c>
      <c r="T102" s="3209">
        <v>84.88</v>
      </c>
      <c r="U102" s="3200">
        <v>5</v>
      </c>
      <c r="AA102" s="3209">
        <v>57.3</v>
      </c>
      <c r="AB102" s="3200">
        <v>5</v>
      </c>
      <c r="AD102" s="3209">
        <v>89.41</v>
      </c>
      <c r="AE102" s="3200">
        <v>5</v>
      </c>
    </row>
    <row r="103" spans="1:31">
      <c r="A103" s="3204">
        <v>102</v>
      </c>
      <c r="B103" s="3204">
        <v>4</v>
      </c>
      <c r="C103" s="3204">
        <v>7</v>
      </c>
      <c r="D103" s="3204">
        <v>5</v>
      </c>
      <c r="E103" s="3204">
        <v>503</v>
      </c>
      <c r="F103" s="3206" t="s">
        <v>3569</v>
      </c>
      <c r="G103" s="3202" t="s">
        <v>3527</v>
      </c>
      <c r="H103" s="3202" t="s">
        <v>3532</v>
      </c>
      <c r="I103" s="3203">
        <v>89.45</v>
      </c>
      <c r="J103" s="3204">
        <v>1</v>
      </c>
      <c r="P103" s="3211" t="s">
        <v>3554</v>
      </c>
      <c r="Q103" s="3200">
        <v>5</v>
      </c>
      <c r="T103" s="3211" t="s">
        <v>3554</v>
      </c>
      <c r="U103" s="3200">
        <v>5</v>
      </c>
      <c r="AA103" s="3209">
        <v>61.66</v>
      </c>
      <c r="AB103" s="3200">
        <v>5</v>
      </c>
      <c r="AD103" s="3209">
        <v>89.45</v>
      </c>
      <c r="AE103" s="3200">
        <v>5</v>
      </c>
    </row>
    <row r="104" spans="1:31">
      <c r="A104" s="3204">
        <v>103</v>
      </c>
      <c r="B104" s="3204">
        <v>4</v>
      </c>
      <c r="C104" s="3204">
        <v>7</v>
      </c>
      <c r="D104" s="3204">
        <v>6</v>
      </c>
      <c r="E104" s="3204">
        <v>601</v>
      </c>
      <c r="F104" s="3202" t="s">
        <v>3554</v>
      </c>
      <c r="G104" s="3202" t="s">
        <v>3527</v>
      </c>
      <c r="H104" s="3202" t="s">
        <v>3547</v>
      </c>
      <c r="I104" s="3203">
        <v>85.14</v>
      </c>
      <c r="J104" s="3204">
        <v>1</v>
      </c>
      <c r="P104" s="3209">
        <v>85.04</v>
      </c>
      <c r="Q104" s="3200">
        <v>15</v>
      </c>
      <c r="T104" s="3209">
        <v>85.04</v>
      </c>
      <c r="U104" s="3200">
        <v>15</v>
      </c>
      <c r="AA104" s="3208" t="s">
        <v>3579</v>
      </c>
      <c r="AB104" s="3200">
        <v>5</v>
      </c>
      <c r="AD104" s="3208" t="s">
        <v>3556</v>
      </c>
      <c r="AE104" s="3200">
        <v>5</v>
      </c>
    </row>
    <row r="105" spans="1:31">
      <c r="A105" s="3204">
        <v>104</v>
      </c>
      <c r="B105" s="3204">
        <v>4</v>
      </c>
      <c r="C105" s="3204">
        <v>7</v>
      </c>
      <c r="D105" s="3204">
        <v>6</v>
      </c>
      <c r="E105" s="3204">
        <v>602</v>
      </c>
      <c r="F105" s="3206" t="s">
        <v>3539</v>
      </c>
      <c r="G105" s="3202" t="s">
        <v>3527</v>
      </c>
      <c r="H105" s="3202" t="s">
        <v>3578</v>
      </c>
      <c r="I105" s="3203">
        <v>88.29</v>
      </c>
      <c r="J105" s="3204">
        <v>1</v>
      </c>
      <c r="P105" s="3211" t="s">
        <v>3526</v>
      </c>
      <c r="Q105" s="3200">
        <v>10</v>
      </c>
      <c r="T105" s="3211" t="s">
        <v>3526</v>
      </c>
      <c r="U105" s="3200">
        <v>10</v>
      </c>
      <c r="AA105" s="3209">
        <v>73.06</v>
      </c>
      <c r="AB105" s="3200">
        <v>5</v>
      </c>
      <c r="AD105" s="3209">
        <v>79.52</v>
      </c>
      <c r="AE105" s="3200">
        <v>5</v>
      </c>
    </row>
    <row r="106" spans="1:31">
      <c r="A106" s="3204">
        <v>105</v>
      </c>
      <c r="B106" s="3204">
        <v>4</v>
      </c>
      <c r="C106" s="3204">
        <v>7</v>
      </c>
      <c r="D106" s="3204">
        <v>6</v>
      </c>
      <c r="E106" s="3204">
        <v>603</v>
      </c>
      <c r="F106" s="3206" t="s">
        <v>3569</v>
      </c>
      <c r="G106" s="3202" t="s">
        <v>3527</v>
      </c>
      <c r="H106" s="3202" t="s">
        <v>3532</v>
      </c>
      <c r="I106" s="3203">
        <v>89.45</v>
      </c>
      <c r="J106" s="3204">
        <v>1</v>
      </c>
      <c r="P106" s="3211" t="s">
        <v>3562</v>
      </c>
      <c r="Q106" s="3200">
        <v>5</v>
      </c>
      <c r="T106" s="3211" t="s">
        <v>3562</v>
      </c>
      <c r="U106" s="3200">
        <v>5</v>
      </c>
      <c r="AA106" s="3207" t="s">
        <v>3601</v>
      </c>
      <c r="AB106" s="3200">
        <v>653</v>
      </c>
      <c r="AD106" s="3208" t="s">
        <v>3574</v>
      </c>
      <c r="AE106" s="3200">
        <v>6</v>
      </c>
    </row>
    <row r="107" spans="1:31">
      <c r="A107" s="3204">
        <v>106</v>
      </c>
      <c r="B107" s="3204">
        <v>5</v>
      </c>
      <c r="C107" s="3204">
        <v>1</v>
      </c>
      <c r="D107" s="3204">
        <v>1</v>
      </c>
      <c r="E107" s="3204">
        <v>101</v>
      </c>
      <c r="F107" s="3206" t="s">
        <v>3550</v>
      </c>
      <c r="G107" s="3202" t="s">
        <v>3527</v>
      </c>
      <c r="H107" s="3202" t="s">
        <v>3547</v>
      </c>
      <c r="I107" s="3212">
        <v>87.06</v>
      </c>
      <c r="J107" s="3204">
        <v>1</v>
      </c>
      <c r="P107" s="3209">
        <v>85.12</v>
      </c>
      <c r="Q107" s="3200">
        <v>10</v>
      </c>
      <c r="T107" s="3209">
        <v>85.12</v>
      </c>
      <c r="U107" s="3200">
        <v>10</v>
      </c>
      <c r="AD107" s="3209">
        <v>87.58</v>
      </c>
      <c r="AE107" s="3200">
        <v>6</v>
      </c>
    </row>
    <row r="108" spans="1:31">
      <c r="A108" s="3204">
        <v>107</v>
      </c>
      <c r="B108" s="3204">
        <v>5</v>
      </c>
      <c r="C108" s="3204">
        <v>1</v>
      </c>
      <c r="D108" s="3204">
        <v>1</v>
      </c>
      <c r="E108" s="3204">
        <v>102</v>
      </c>
      <c r="F108" s="3206" t="s">
        <v>3539</v>
      </c>
      <c r="G108" s="3202" t="s">
        <v>3527</v>
      </c>
      <c r="H108" s="3202" t="s">
        <v>3536</v>
      </c>
      <c r="I108" s="3212">
        <v>86.13</v>
      </c>
      <c r="J108" s="3204">
        <v>1</v>
      </c>
      <c r="P108" s="3211" t="s">
        <v>404</v>
      </c>
      <c r="Q108" s="3200">
        <v>5</v>
      </c>
      <c r="T108" s="3211" t="s">
        <v>404</v>
      </c>
      <c r="U108" s="3200">
        <v>5</v>
      </c>
      <c r="AD108" s="3208" t="s">
        <v>3575</v>
      </c>
      <c r="AE108" s="3200">
        <v>5</v>
      </c>
    </row>
    <row r="109" spans="1:31">
      <c r="A109" s="3204">
        <v>108</v>
      </c>
      <c r="B109" s="3204">
        <v>5</v>
      </c>
      <c r="C109" s="3204">
        <v>1</v>
      </c>
      <c r="D109" s="3204">
        <v>2</v>
      </c>
      <c r="E109" s="3204">
        <v>201</v>
      </c>
      <c r="F109" s="3206" t="s">
        <v>3550</v>
      </c>
      <c r="G109" s="3202" t="s">
        <v>3527</v>
      </c>
      <c r="H109" s="3202" t="s">
        <v>3547</v>
      </c>
      <c r="I109" s="3212">
        <v>87.11</v>
      </c>
      <c r="J109" s="3204">
        <v>1</v>
      </c>
      <c r="P109" s="3211" t="s">
        <v>3554</v>
      </c>
      <c r="Q109" s="3200">
        <v>5</v>
      </c>
      <c r="T109" s="3211" t="s">
        <v>3554</v>
      </c>
      <c r="U109" s="3200">
        <v>5</v>
      </c>
      <c r="AD109" s="3209">
        <v>89.81</v>
      </c>
      <c r="AE109" s="3200">
        <v>5</v>
      </c>
    </row>
    <row r="110" spans="1:31">
      <c r="A110" s="3204">
        <v>109</v>
      </c>
      <c r="B110" s="3204">
        <v>5</v>
      </c>
      <c r="C110" s="3204">
        <v>1</v>
      </c>
      <c r="D110" s="3204">
        <v>2</v>
      </c>
      <c r="E110" s="3204">
        <v>202</v>
      </c>
      <c r="F110" s="3206" t="s">
        <v>3539</v>
      </c>
      <c r="G110" s="3202" t="s">
        <v>3527</v>
      </c>
      <c r="H110" s="3202" t="s">
        <v>3536</v>
      </c>
      <c r="I110" s="3212">
        <v>85.98</v>
      </c>
      <c r="J110" s="3204">
        <v>1</v>
      </c>
      <c r="P110" s="3209">
        <v>85.17</v>
      </c>
      <c r="Q110" s="3200">
        <v>5</v>
      </c>
      <c r="T110" s="3209">
        <v>85.17</v>
      </c>
      <c r="U110" s="3200">
        <v>5</v>
      </c>
      <c r="AD110" s="3208" t="s">
        <v>3541</v>
      </c>
      <c r="AE110" s="3200">
        <v>1</v>
      </c>
    </row>
    <row r="111" spans="1:31">
      <c r="A111" s="3204">
        <v>110</v>
      </c>
      <c r="B111" s="3204">
        <v>5</v>
      </c>
      <c r="C111" s="3204">
        <v>1</v>
      </c>
      <c r="D111" s="3204">
        <v>2</v>
      </c>
      <c r="E111" s="3204">
        <v>203</v>
      </c>
      <c r="F111" s="3206" t="s">
        <v>3556</v>
      </c>
      <c r="G111" s="3202" t="s">
        <v>3527</v>
      </c>
      <c r="H111" s="3202" t="s">
        <v>3547</v>
      </c>
      <c r="I111" s="3212">
        <v>79.52</v>
      </c>
      <c r="J111" s="3204">
        <v>1</v>
      </c>
      <c r="P111" s="3211" t="s">
        <v>404</v>
      </c>
      <c r="Q111" s="3200">
        <v>5</v>
      </c>
      <c r="T111" s="3211" t="s">
        <v>404</v>
      </c>
      <c r="U111" s="3200">
        <v>5</v>
      </c>
      <c r="AD111" s="3209">
        <v>89.16</v>
      </c>
      <c r="AE111" s="3200">
        <v>1</v>
      </c>
    </row>
    <row r="112" spans="1:31">
      <c r="A112" s="3204">
        <v>111</v>
      </c>
      <c r="B112" s="3204">
        <v>5</v>
      </c>
      <c r="C112" s="3204">
        <v>1</v>
      </c>
      <c r="D112" s="3204">
        <v>3</v>
      </c>
      <c r="E112" s="3204">
        <v>301</v>
      </c>
      <c r="F112" s="3206" t="s">
        <v>3550</v>
      </c>
      <c r="G112" s="3202" t="s">
        <v>3527</v>
      </c>
      <c r="H112" s="3202" t="s">
        <v>3547</v>
      </c>
      <c r="I112" s="3212">
        <v>87.11</v>
      </c>
      <c r="J112" s="3204">
        <v>1</v>
      </c>
      <c r="P112" s="3209">
        <v>85.26</v>
      </c>
      <c r="Q112" s="3200">
        <v>20</v>
      </c>
      <c r="T112" s="3209">
        <v>85.26</v>
      </c>
      <c r="U112" s="3200">
        <v>20</v>
      </c>
      <c r="AD112" s="3208" t="s">
        <v>2507</v>
      </c>
      <c r="AE112" s="3200">
        <v>5</v>
      </c>
    </row>
    <row r="113" spans="1:31">
      <c r="A113" s="3204">
        <v>112</v>
      </c>
      <c r="B113" s="3204">
        <v>5</v>
      </c>
      <c r="C113" s="3204">
        <v>1</v>
      </c>
      <c r="D113" s="3204">
        <v>3</v>
      </c>
      <c r="E113" s="3204">
        <v>302</v>
      </c>
      <c r="F113" s="3206" t="s">
        <v>3539</v>
      </c>
      <c r="G113" s="3202" t="s">
        <v>3527</v>
      </c>
      <c r="H113" s="3202" t="s">
        <v>3536</v>
      </c>
      <c r="I113" s="3212">
        <v>85.98</v>
      </c>
      <c r="J113" s="3204">
        <v>1</v>
      </c>
      <c r="P113" s="3211" t="s">
        <v>3526</v>
      </c>
      <c r="Q113" s="3200">
        <v>10</v>
      </c>
      <c r="T113" s="3211" t="s">
        <v>3526</v>
      </c>
      <c r="U113" s="3200">
        <v>10</v>
      </c>
      <c r="AD113" s="3209">
        <v>88.95</v>
      </c>
      <c r="AE113" s="3200">
        <v>5</v>
      </c>
    </row>
    <row r="114" spans="1:31">
      <c r="A114" s="3204">
        <v>113</v>
      </c>
      <c r="B114" s="3204">
        <v>5</v>
      </c>
      <c r="C114" s="3204">
        <v>1</v>
      </c>
      <c r="D114" s="3204">
        <v>3</v>
      </c>
      <c r="E114" s="3204">
        <v>303</v>
      </c>
      <c r="F114" s="3206" t="s">
        <v>3556</v>
      </c>
      <c r="G114" s="3202" t="s">
        <v>3527</v>
      </c>
      <c r="H114" s="3202" t="s">
        <v>3547</v>
      </c>
      <c r="I114" s="3212">
        <v>79.52</v>
      </c>
      <c r="J114" s="3204">
        <v>1</v>
      </c>
      <c r="P114" s="3211" t="s">
        <v>3562</v>
      </c>
      <c r="Q114" s="3200">
        <v>10</v>
      </c>
      <c r="T114" s="3211" t="s">
        <v>3562</v>
      </c>
      <c r="U114" s="3200">
        <v>10</v>
      </c>
      <c r="AD114" s="3208" t="s">
        <v>3576</v>
      </c>
      <c r="AE114" s="3200">
        <v>5</v>
      </c>
    </row>
    <row r="115" spans="1:31">
      <c r="A115" s="3204">
        <v>114</v>
      </c>
      <c r="B115" s="3204">
        <v>5</v>
      </c>
      <c r="C115" s="3204">
        <v>1</v>
      </c>
      <c r="D115" s="3204">
        <v>4</v>
      </c>
      <c r="E115" s="3204">
        <v>401</v>
      </c>
      <c r="F115" s="3206" t="s">
        <v>3550</v>
      </c>
      <c r="G115" s="3202" t="s">
        <v>3527</v>
      </c>
      <c r="H115" s="3202" t="s">
        <v>3547</v>
      </c>
      <c r="I115" s="3212">
        <v>87.11</v>
      </c>
      <c r="J115" s="3204">
        <v>1</v>
      </c>
      <c r="P115" s="3209">
        <v>85.3</v>
      </c>
      <c r="Q115" s="3200">
        <v>10</v>
      </c>
      <c r="T115" s="3209">
        <v>85.3</v>
      </c>
      <c r="U115" s="3200">
        <v>10</v>
      </c>
      <c r="AD115" s="3209">
        <v>81.88</v>
      </c>
      <c r="AE115" s="3200">
        <v>5</v>
      </c>
    </row>
    <row r="116" spans="1:31">
      <c r="A116" s="3204">
        <v>115</v>
      </c>
      <c r="B116" s="3204">
        <v>5</v>
      </c>
      <c r="C116" s="3204">
        <v>1</v>
      </c>
      <c r="D116" s="3204">
        <v>4</v>
      </c>
      <c r="E116" s="3204">
        <v>402</v>
      </c>
      <c r="F116" s="3206" t="s">
        <v>3539</v>
      </c>
      <c r="G116" s="3202" t="s">
        <v>3527</v>
      </c>
      <c r="H116" s="3202" t="s">
        <v>3536</v>
      </c>
      <c r="I116" s="3212">
        <v>85.98</v>
      </c>
      <c r="J116" s="3204">
        <v>1</v>
      </c>
      <c r="P116" s="3211" t="s">
        <v>3526</v>
      </c>
      <c r="Q116" s="3200">
        <v>5</v>
      </c>
      <c r="T116" s="3211" t="s">
        <v>3526</v>
      </c>
      <c r="U116" s="3200">
        <v>5</v>
      </c>
      <c r="AD116" s="3208" t="s">
        <v>3577</v>
      </c>
      <c r="AE116" s="3200">
        <v>10</v>
      </c>
    </row>
    <row r="117" spans="1:31">
      <c r="A117" s="3204">
        <v>116</v>
      </c>
      <c r="B117" s="3204">
        <v>5</v>
      </c>
      <c r="C117" s="3204">
        <v>1</v>
      </c>
      <c r="D117" s="3204">
        <v>4</v>
      </c>
      <c r="E117" s="3204">
        <v>403</v>
      </c>
      <c r="F117" s="3206" t="s">
        <v>3556</v>
      </c>
      <c r="G117" s="3202" t="s">
        <v>3527</v>
      </c>
      <c r="H117" s="3202" t="s">
        <v>3547</v>
      </c>
      <c r="I117" s="3212">
        <v>79.52</v>
      </c>
      <c r="J117" s="3204">
        <v>1</v>
      </c>
      <c r="P117" s="3211" t="s">
        <v>3562</v>
      </c>
      <c r="Q117" s="3200">
        <v>5</v>
      </c>
      <c r="T117" s="3211" t="s">
        <v>3562</v>
      </c>
      <c r="U117" s="3200">
        <v>5</v>
      </c>
      <c r="AD117" s="3209">
        <v>87.79</v>
      </c>
      <c r="AE117" s="3200">
        <v>10</v>
      </c>
    </row>
    <row r="118" spans="1:31">
      <c r="A118" s="3204">
        <v>117</v>
      </c>
      <c r="B118" s="3204">
        <v>5</v>
      </c>
      <c r="C118" s="3204">
        <v>1</v>
      </c>
      <c r="D118" s="3204">
        <v>5</v>
      </c>
      <c r="E118" s="3204">
        <v>501</v>
      </c>
      <c r="F118" s="3206" t="s">
        <v>3550</v>
      </c>
      <c r="G118" s="3202" t="s">
        <v>3527</v>
      </c>
      <c r="H118" s="3202" t="s">
        <v>3547</v>
      </c>
      <c r="I118" s="3212">
        <v>87.11</v>
      </c>
      <c r="J118" s="3204">
        <v>1</v>
      </c>
      <c r="P118" s="3209">
        <v>85.78</v>
      </c>
      <c r="Q118" s="3200">
        <v>20</v>
      </c>
      <c r="T118" s="3209">
        <v>85.78</v>
      </c>
      <c r="U118" s="3200">
        <v>20</v>
      </c>
      <c r="AD118" s="3208" t="s">
        <v>3558</v>
      </c>
      <c r="AE118" s="3200">
        <v>5</v>
      </c>
    </row>
    <row r="119" spans="1:31">
      <c r="A119" s="3204">
        <v>118</v>
      </c>
      <c r="B119" s="3204">
        <v>5</v>
      </c>
      <c r="C119" s="3204">
        <v>1</v>
      </c>
      <c r="D119" s="3204">
        <v>5</v>
      </c>
      <c r="E119" s="3204">
        <v>502</v>
      </c>
      <c r="F119" s="3206" t="s">
        <v>3539</v>
      </c>
      <c r="G119" s="3202" t="s">
        <v>3527</v>
      </c>
      <c r="H119" s="3202" t="s">
        <v>3536</v>
      </c>
      <c r="I119" s="3212">
        <v>85.98</v>
      </c>
      <c r="J119" s="3204">
        <v>1</v>
      </c>
      <c r="P119" s="3211" t="s">
        <v>403</v>
      </c>
      <c r="Q119" s="3200">
        <v>10</v>
      </c>
      <c r="T119" s="3211" t="s">
        <v>403</v>
      </c>
      <c r="U119" s="3200">
        <v>10</v>
      </c>
      <c r="AD119" s="3209">
        <v>89.6</v>
      </c>
      <c r="AE119" s="3200">
        <v>5</v>
      </c>
    </row>
    <row r="120" spans="1:31">
      <c r="A120" s="3204">
        <v>119</v>
      </c>
      <c r="B120" s="3204">
        <v>5</v>
      </c>
      <c r="C120" s="3204">
        <v>1</v>
      </c>
      <c r="D120" s="3204">
        <v>5</v>
      </c>
      <c r="E120" s="3204">
        <v>503</v>
      </c>
      <c r="F120" s="3206" t="s">
        <v>3556</v>
      </c>
      <c r="G120" s="3202" t="s">
        <v>3527</v>
      </c>
      <c r="H120" s="3202" t="s">
        <v>3547</v>
      </c>
      <c r="I120" s="3212">
        <v>79.52</v>
      </c>
      <c r="J120" s="3204">
        <v>1</v>
      </c>
      <c r="P120" s="3211" t="s">
        <v>3568</v>
      </c>
      <c r="Q120" s="3200">
        <v>10</v>
      </c>
      <c r="T120" s="3211" t="s">
        <v>3568</v>
      </c>
      <c r="U120" s="3200">
        <v>10</v>
      </c>
      <c r="AD120" s="3207" t="s">
        <v>3581</v>
      </c>
      <c r="AE120" s="3200">
        <v>20</v>
      </c>
    </row>
    <row r="121" spans="1:31">
      <c r="A121" s="3204">
        <v>120</v>
      </c>
      <c r="B121" s="3204">
        <v>5</v>
      </c>
      <c r="C121" s="3204">
        <v>1</v>
      </c>
      <c r="D121" s="3204">
        <v>6</v>
      </c>
      <c r="E121" s="3204">
        <v>601</v>
      </c>
      <c r="F121" s="3206" t="s">
        <v>3550</v>
      </c>
      <c r="G121" s="3202" t="s">
        <v>3527</v>
      </c>
      <c r="H121" s="3202" t="s">
        <v>3547</v>
      </c>
      <c r="I121" s="3212">
        <v>87.11</v>
      </c>
      <c r="J121" s="3204">
        <v>1</v>
      </c>
      <c r="P121" s="3209">
        <v>85.86</v>
      </c>
      <c r="Q121" s="3200">
        <v>5</v>
      </c>
      <c r="T121" s="3209">
        <v>85.86</v>
      </c>
      <c r="U121" s="3200">
        <v>5</v>
      </c>
      <c r="AD121" s="3208" t="s">
        <v>3582</v>
      </c>
      <c r="AE121" s="3200">
        <v>10</v>
      </c>
    </row>
    <row r="122" spans="1:31">
      <c r="A122" s="3204">
        <v>121</v>
      </c>
      <c r="B122" s="3204">
        <v>5</v>
      </c>
      <c r="C122" s="3204">
        <v>1</v>
      </c>
      <c r="D122" s="3204">
        <v>6</v>
      </c>
      <c r="E122" s="3204">
        <v>602</v>
      </c>
      <c r="F122" s="3206" t="s">
        <v>3539</v>
      </c>
      <c r="G122" s="3202" t="s">
        <v>3527</v>
      </c>
      <c r="H122" s="3202" t="s">
        <v>3536</v>
      </c>
      <c r="I122" s="3212">
        <v>85.98</v>
      </c>
      <c r="J122" s="3204">
        <v>1</v>
      </c>
      <c r="P122" s="3211" t="s">
        <v>404</v>
      </c>
      <c r="Q122" s="3200">
        <v>5</v>
      </c>
      <c r="T122" s="3211" t="s">
        <v>404</v>
      </c>
      <c r="U122" s="3200">
        <v>5</v>
      </c>
      <c r="AD122" s="3209">
        <v>87.21</v>
      </c>
      <c r="AE122" s="3200">
        <v>5</v>
      </c>
    </row>
    <row r="123" spans="1:31">
      <c r="A123" s="3204">
        <v>122</v>
      </c>
      <c r="B123" s="3204">
        <v>5</v>
      </c>
      <c r="C123" s="3204">
        <v>1</v>
      </c>
      <c r="D123" s="3204">
        <v>6</v>
      </c>
      <c r="E123" s="3204">
        <v>603</v>
      </c>
      <c r="F123" s="3206" t="s">
        <v>3556</v>
      </c>
      <c r="G123" s="3202" t="s">
        <v>3527</v>
      </c>
      <c r="H123" s="3202" t="s">
        <v>3547</v>
      </c>
      <c r="I123" s="3212">
        <v>79.52</v>
      </c>
      <c r="J123" s="3204">
        <v>1</v>
      </c>
      <c r="P123" s="3209">
        <v>85.88</v>
      </c>
      <c r="Q123" s="3200">
        <v>5</v>
      </c>
      <c r="T123" s="3209">
        <v>85.88</v>
      </c>
      <c r="U123" s="3200">
        <v>5</v>
      </c>
      <c r="AD123" s="3209">
        <v>87.48</v>
      </c>
      <c r="AE123" s="3200">
        <v>5</v>
      </c>
    </row>
    <row r="124" spans="1:31">
      <c r="A124" s="3204">
        <v>123</v>
      </c>
      <c r="B124" s="3204">
        <v>5</v>
      </c>
      <c r="C124" s="3204">
        <v>2</v>
      </c>
      <c r="D124" s="3204">
        <v>1</v>
      </c>
      <c r="E124" s="3204">
        <v>101</v>
      </c>
      <c r="F124" s="3206" t="s">
        <v>3541</v>
      </c>
      <c r="G124" s="3202" t="s">
        <v>3527</v>
      </c>
      <c r="H124" s="3202" t="s">
        <v>3536</v>
      </c>
      <c r="I124" s="3212">
        <v>89.16</v>
      </c>
      <c r="J124" s="3204">
        <v>1</v>
      </c>
      <c r="P124" s="3211" t="s">
        <v>3554</v>
      </c>
      <c r="Q124" s="3200">
        <v>5</v>
      </c>
      <c r="T124" s="3211" t="s">
        <v>3554</v>
      </c>
      <c r="U124" s="3200">
        <v>5</v>
      </c>
      <c r="AD124" s="3208" t="s">
        <v>3583</v>
      </c>
      <c r="AE124" s="3200">
        <v>5</v>
      </c>
    </row>
    <row r="125" spans="1:31">
      <c r="A125" s="3204">
        <v>124</v>
      </c>
      <c r="B125" s="3204">
        <v>5</v>
      </c>
      <c r="C125" s="3204">
        <v>2</v>
      </c>
      <c r="D125" s="3204">
        <v>1</v>
      </c>
      <c r="E125" s="3204">
        <v>102</v>
      </c>
      <c r="F125" s="3206" t="s">
        <v>3594</v>
      </c>
      <c r="G125" s="3202" t="s">
        <v>3585</v>
      </c>
      <c r="H125" s="3202" t="s">
        <v>3532</v>
      </c>
      <c r="I125" s="3212">
        <v>68.099999999999994</v>
      </c>
      <c r="J125" s="3204">
        <v>1</v>
      </c>
      <c r="P125" s="3209">
        <v>86.07</v>
      </c>
      <c r="Q125" s="3200">
        <v>5</v>
      </c>
      <c r="T125" s="3209">
        <v>86.07</v>
      </c>
      <c r="U125" s="3200">
        <v>5</v>
      </c>
      <c r="AD125" s="3209">
        <v>87.21</v>
      </c>
      <c r="AE125" s="3200">
        <v>5</v>
      </c>
    </row>
    <row r="126" spans="1:31">
      <c r="A126" s="3204">
        <v>125</v>
      </c>
      <c r="B126" s="3204">
        <v>5</v>
      </c>
      <c r="C126" s="3204">
        <v>2</v>
      </c>
      <c r="D126" s="3204">
        <v>1</v>
      </c>
      <c r="E126" s="3204">
        <v>103</v>
      </c>
      <c r="F126" s="3206" t="s">
        <v>3574</v>
      </c>
      <c r="G126" s="3202" t="s">
        <v>3527</v>
      </c>
      <c r="H126" s="3202" t="s">
        <v>3448</v>
      </c>
      <c r="I126" s="3212">
        <v>87.58</v>
      </c>
      <c r="J126" s="3204">
        <v>1</v>
      </c>
      <c r="P126" s="3211" t="s">
        <v>3526</v>
      </c>
      <c r="Q126" s="3200">
        <v>5</v>
      </c>
      <c r="T126" s="3211" t="s">
        <v>3526</v>
      </c>
      <c r="U126" s="3200">
        <v>5</v>
      </c>
      <c r="AD126" s="3208" t="s">
        <v>3584</v>
      </c>
      <c r="AE126" s="3200">
        <v>5</v>
      </c>
    </row>
    <row r="127" spans="1:31">
      <c r="A127" s="3204">
        <v>126</v>
      </c>
      <c r="B127" s="3204">
        <v>5</v>
      </c>
      <c r="C127" s="3204">
        <v>2</v>
      </c>
      <c r="D127" s="3204">
        <v>2</v>
      </c>
      <c r="E127" s="3204">
        <v>201</v>
      </c>
      <c r="F127" s="3206" t="s">
        <v>3586</v>
      </c>
      <c r="G127" s="3202" t="s">
        <v>3585</v>
      </c>
      <c r="H127" s="3202" t="s">
        <v>3536</v>
      </c>
      <c r="I127" s="3212">
        <v>60.07</v>
      </c>
      <c r="J127" s="3204">
        <v>1</v>
      </c>
      <c r="P127" s="3209">
        <v>86.37</v>
      </c>
      <c r="Q127" s="3200">
        <v>15</v>
      </c>
      <c r="T127" s="3209">
        <v>86.37</v>
      </c>
      <c r="U127" s="3200">
        <v>15</v>
      </c>
      <c r="AD127" s="3209">
        <v>88.2</v>
      </c>
      <c r="AE127" s="3200">
        <v>5</v>
      </c>
    </row>
    <row r="128" spans="1:31">
      <c r="A128" s="3204">
        <v>127</v>
      </c>
      <c r="B128" s="3204">
        <v>5</v>
      </c>
      <c r="C128" s="3204">
        <v>2</v>
      </c>
      <c r="D128" s="3204">
        <v>2</v>
      </c>
      <c r="E128" s="3204">
        <v>202</v>
      </c>
      <c r="F128" s="3206" t="s">
        <v>3594</v>
      </c>
      <c r="G128" s="3202" t="s">
        <v>3585</v>
      </c>
      <c r="H128" s="3202" t="s">
        <v>3532</v>
      </c>
      <c r="I128" s="3212">
        <v>68.099999999999994</v>
      </c>
      <c r="J128" s="3204">
        <v>1</v>
      </c>
      <c r="P128" s="3211" t="s">
        <v>403</v>
      </c>
      <c r="Q128" s="3200">
        <v>5</v>
      </c>
      <c r="T128" s="3211" t="s">
        <v>403</v>
      </c>
      <c r="U128" s="3200">
        <v>5</v>
      </c>
      <c r="AD128" s="3207" t="s">
        <v>3585</v>
      </c>
      <c r="AE128" s="3200">
        <v>67</v>
      </c>
    </row>
    <row r="129" spans="1:31">
      <c r="A129" s="3204">
        <v>128</v>
      </c>
      <c r="B129" s="3204">
        <v>5</v>
      </c>
      <c r="C129" s="3204">
        <v>2</v>
      </c>
      <c r="D129" s="3204">
        <v>2</v>
      </c>
      <c r="E129" s="3204">
        <v>203</v>
      </c>
      <c r="F129" s="3206" t="s">
        <v>3574</v>
      </c>
      <c r="G129" s="3202" t="s">
        <v>3527</v>
      </c>
      <c r="H129" s="3202" t="s">
        <v>3448</v>
      </c>
      <c r="I129" s="3212">
        <v>87.58</v>
      </c>
      <c r="J129" s="3204">
        <v>1</v>
      </c>
      <c r="P129" s="3211" t="s">
        <v>3568</v>
      </c>
      <c r="Q129" s="3200">
        <v>10</v>
      </c>
      <c r="T129" s="3211" t="s">
        <v>3568</v>
      </c>
      <c r="U129" s="3200">
        <v>10</v>
      </c>
      <c r="AD129" s="3208" t="s">
        <v>3596</v>
      </c>
      <c r="AE129" s="3200">
        <v>3</v>
      </c>
    </row>
    <row r="130" spans="1:31">
      <c r="A130" s="3204">
        <v>129</v>
      </c>
      <c r="B130" s="3204">
        <v>5</v>
      </c>
      <c r="C130" s="3204">
        <v>2</v>
      </c>
      <c r="D130" s="3204">
        <v>3</v>
      </c>
      <c r="E130" s="3204">
        <v>301</v>
      </c>
      <c r="F130" s="3206" t="s">
        <v>3586</v>
      </c>
      <c r="G130" s="3202" t="s">
        <v>3585</v>
      </c>
      <c r="H130" s="3202" t="s">
        <v>3536</v>
      </c>
      <c r="I130" s="3212">
        <v>60.07</v>
      </c>
      <c r="J130" s="3204">
        <v>1</v>
      </c>
      <c r="P130" s="3209">
        <v>86.51</v>
      </c>
      <c r="Q130" s="3200">
        <v>5</v>
      </c>
      <c r="T130" s="3209">
        <v>86.51</v>
      </c>
      <c r="U130" s="3200">
        <v>5</v>
      </c>
      <c r="AD130" s="3209">
        <v>67.92</v>
      </c>
      <c r="AE130" s="3200">
        <v>2</v>
      </c>
    </row>
    <row r="131" spans="1:31">
      <c r="A131" s="3204">
        <v>130</v>
      </c>
      <c r="B131" s="3204">
        <v>5</v>
      </c>
      <c r="C131" s="3204">
        <v>2</v>
      </c>
      <c r="D131" s="3204">
        <v>3</v>
      </c>
      <c r="E131" s="3204">
        <v>302</v>
      </c>
      <c r="F131" s="3206" t="s">
        <v>3594</v>
      </c>
      <c r="G131" s="3202" t="s">
        <v>3585</v>
      </c>
      <c r="H131" s="3202" t="s">
        <v>3532</v>
      </c>
      <c r="I131" s="3212">
        <v>68.099999999999994</v>
      </c>
      <c r="J131" s="3204">
        <v>1</v>
      </c>
      <c r="P131" s="3211" t="s">
        <v>3568</v>
      </c>
      <c r="Q131" s="3200">
        <v>5</v>
      </c>
      <c r="T131" s="3211" t="s">
        <v>3568</v>
      </c>
      <c r="U131" s="3200">
        <v>5</v>
      </c>
      <c r="AD131" s="3209">
        <v>68.39</v>
      </c>
      <c r="AE131" s="3200">
        <v>1</v>
      </c>
    </row>
    <row r="132" spans="1:31">
      <c r="A132" s="3204">
        <v>131</v>
      </c>
      <c r="B132" s="3204">
        <v>5</v>
      </c>
      <c r="C132" s="3204">
        <v>2</v>
      </c>
      <c r="D132" s="3204">
        <v>3</v>
      </c>
      <c r="E132" s="3204">
        <v>303</v>
      </c>
      <c r="F132" s="3206" t="s">
        <v>3574</v>
      </c>
      <c r="G132" s="3202" t="s">
        <v>3527</v>
      </c>
      <c r="H132" s="3202" t="s">
        <v>3448</v>
      </c>
      <c r="I132" s="3212">
        <v>87.58</v>
      </c>
      <c r="J132" s="3204">
        <v>1</v>
      </c>
      <c r="P132" s="3209">
        <v>87.58</v>
      </c>
      <c r="Q132" s="3200">
        <v>6</v>
      </c>
      <c r="T132" s="3209">
        <v>87.58</v>
      </c>
      <c r="U132" s="3200">
        <v>6</v>
      </c>
      <c r="AD132" s="3208" t="s">
        <v>3597</v>
      </c>
      <c r="AE132" s="3200">
        <v>5</v>
      </c>
    </row>
    <row r="133" spans="1:31">
      <c r="A133" s="3204">
        <v>132</v>
      </c>
      <c r="B133" s="3204">
        <v>5</v>
      </c>
      <c r="C133" s="3204">
        <v>2</v>
      </c>
      <c r="D133" s="3204">
        <v>4</v>
      </c>
      <c r="E133" s="3204">
        <v>401</v>
      </c>
      <c r="F133" s="3206" t="s">
        <v>3586</v>
      </c>
      <c r="G133" s="3202" t="s">
        <v>3585</v>
      </c>
      <c r="H133" s="3202" t="s">
        <v>3536</v>
      </c>
      <c r="I133" s="3212">
        <v>60.07</v>
      </c>
      <c r="J133" s="3204">
        <v>1</v>
      </c>
      <c r="P133" s="3211" t="s">
        <v>3574</v>
      </c>
      <c r="Q133" s="3200">
        <v>6</v>
      </c>
      <c r="T133" s="3211" t="s">
        <v>3574</v>
      </c>
      <c r="U133" s="3200">
        <v>6</v>
      </c>
      <c r="AD133" s="3209">
        <v>67.92</v>
      </c>
      <c r="AE133" s="3200">
        <v>2</v>
      </c>
    </row>
    <row r="134" spans="1:31">
      <c r="A134" s="3204">
        <v>133</v>
      </c>
      <c r="B134" s="3204">
        <v>5</v>
      </c>
      <c r="C134" s="3204">
        <v>2</v>
      </c>
      <c r="D134" s="3204">
        <v>4</v>
      </c>
      <c r="E134" s="3204">
        <v>402</v>
      </c>
      <c r="F134" s="3206" t="s">
        <v>3594</v>
      </c>
      <c r="G134" s="3202" t="s">
        <v>3585</v>
      </c>
      <c r="H134" s="3202" t="s">
        <v>3532</v>
      </c>
      <c r="I134" s="3212">
        <v>68.099999999999994</v>
      </c>
      <c r="J134" s="3204">
        <v>1</v>
      </c>
      <c r="P134" s="3209">
        <v>87.79</v>
      </c>
      <c r="Q134" s="3200">
        <v>10</v>
      </c>
      <c r="T134" s="3209">
        <v>87.79</v>
      </c>
      <c r="U134" s="3200">
        <v>10</v>
      </c>
      <c r="AD134" s="3209">
        <v>68.39</v>
      </c>
      <c r="AE134" s="3200">
        <v>2</v>
      </c>
    </row>
    <row r="135" spans="1:31">
      <c r="A135" s="3204">
        <v>134</v>
      </c>
      <c r="B135" s="3204">
        <v>5</v>
      </c>
      <c r="C135" s="3204">
        <v>2</v>
      </c>
      <c r="D135" s="3204">
        <v>4</v>
      </c>
      <c r="E135" s="3204">
        <v>403</v>
      </c>
      <c r="F135" s="3206" t="s">
        <v>3574</v>
      </c>
      <c r="G135" s="3202" t="s">
        <v>3527</v>
      </c>
      <c r="H135" s="3202" t="s">
        <v>3448</v>
      </c>
      <c r="I135" s="3212">
        <v>87.58</v>
      </c>
      <c r="J135" s="3204">
        <v>1</v>
      </c>
      <c r="P135" s="3211" t="s">
        <v>3577</v>
      </c>
      <c r="Q135" s="3200">
        <v>10</v>
      </c>
      <c r="T135" s="3211" t="s">
        <v>3577</v>
      </c>
      <c r="U135" s="3200">
        <v>10</v>
      </c>
      <c r="AD135" s="3209">
        <v>68.67</v>
      </c>
      <c r="AE135" s="3200">
        <v>1</v>
      </c>
    </row>
    <row r="136" spans="1:31">
      <c r="A136" s="3204">
        <v>135</v>
      </c>
      <c r="B136" s="3204">
        <v>5</v>
      </c>
      <c r="C136" s="3204">
        <v>2</v>
      </c>
      <c r="D136" s="3204">
        <v>5</v>
      </c>
      <c r="E136" s="3204">
        <v>501</v>
      </c>
      <c r="F136" s="3206" t="s">
        <v>3586</v>
      </c>
      <c r="G136" s="3202" t="s">
        <v>3585</v>
      </c>
      <c r="H136" s="3202" t="s">
        <v>3536</v>
      </c>
      <c r="I136" s="3212">
        <v>60.07</v>
      </c>
      <c r="J136" s="3204">
        <v>1</v>
      </c>
      <c r="P136" s="3209">
        <v>88.42</v>
      </c>
      <c r="Q136" s="3200">
        <v>5</v>
      </c>
      <c r="T136" s="3209">
        <v>88.42</v>
      </c>
      <c r="U136" s="3200">
        <v>5</v>
      </c>
      <c r="AD136" s="3208" t="s">
        <v>3591</v>
      </c>
      <c r="AE136" s="3200">
        <v>1</v>
      </c>
    </row>
    <row r="137" spans="1:31">
      <c r="A137" s="3204">
        <v>136</v>
      </c>
      <c r="B137" s="3204">
        <v>5</v>
      </c>
      <c r="C137" s="3204">
        <v>2</v>
      </c>
      <c r="D137" s="3204">
        <v>5</v>
      </c>
      <c r="E137" s="3204">
        <v>502</v>
      </c>
      <c r="F137" s="3206" t="s">
        <v>3594</v>
      </c>
      <c r="G137" s="3202" t="s">
        <v>3585</v>
      </c>
      <c r="H137" s="3202" t="s">
        <v>3532</v>
      </c>
      <c r="I137" s="3212">
        <v>68.099999999999994</v>
      </c>
      <c r="J137" s="3204">
        <v>1</v>
      </c>
      <c r="P137" s="3211" t="s">
        <v>3568</v>
      </c>
      <c r="Q137" s="3200">
        <v>5</v>
      </c>
      <c r="T137" s="3211" t="s">
        <v>3568</v>
      </c>
      <c r="U137" s="3200">
        <v>5</v>
      </c>
      <c r="AD137" s="3209">
        <v>64.930000000000007</v>
      </c>
      <c r="AE137" s="3200">
        <v>1</v>
      </c>
    </row>
    <row r="138" spans="1:31">
      <c r="A138" s="3204">
        <v>137</v>
      </c>
      <c r="B138" s="3204">
        <v>5</v>
      </c>
      <c r="C138" s="3204">
        <v>2</v>
      </c>
      <c r="D138" s="3204">
        <v>5</v>
      </c>
      <c r="E138" s="3204">
        <v>503</v>
      </c>
      <c r="F138" s="3206" t="s">
        <v>3574</v>
      </c>
      <c r="G138" s="3202" t="s">
        <v>3527</v>
      </c>
      <c r="H138" s="3202" t="s">
        <v>3448</v>
      </c>
      <c r="I138" s="3212">
        <v>87.58</v>
      </c>
      <c r="J138" s="3204">
        <v>1</v>
      </c>
      <c r="P138" s="3209">
        <v>88.65</v>
      </c>
      <c r="Q138" s="3200">
        <v>6</v>
      </c>
      <c r="T138" s="3209">
        <v>88.65</v>
      </c>
      <c r="U138" s="3200">
        <v>6</v>
      </c>
      <c r="AD138" s="3208" t="s">
        <v>3592</v>
      </c>
      <c r="AE138" s="3200">
        <v>1</v>
      </c>
    </row>
    <row r="139" spans="1:31">
      <c r="A139" s="3204">
        <v>138</v>
      </c>
      <c r="B139" s="3204">
        <v>5</v>
      </c>
      <c r="C139" s="3204">
        <v>2</v>
      </c>
      <c r="D139" s="3204">
        <v>6</v>
      </c>
      <c r="E139" s="3204">
        <v>601</v>
      </c>
      <c r="F139" s="3206" t="s">
        <v>3586</v>
      </c>
      <c r="G139" s="3202" t="s">
        <v>3585</v>
      </c>
      <c r="H139" s="3202" t="s">
        <v>3536</v>
      </c>
      <c r="I139" s="3212">
        <v>60.07</v>
      </c>
      <c r="J139" s="3204">
        <v>1</v>
      </c>
      <c r="P139" s="3211" t="s">
        <v>403</v>
      </c>
      <c r="Q139" s="3200">
        <v>6</v>
      </c>
      <c r="T139" s="3211" t="s">
        <v>403</v>
      </c>
      <c r="U139" s="3200">
        <v>6</v>
      </c>
      <c r="AD139" s="3209">
        <v>73.010000000000005</v>
      </c>
      <c r="AE139" s="3200">
        <v>1</v>
      </c>
    </row>
    <row r="140" spans="1:31">
      <c r="A140" s="3204">
        <v>139</v>
      </c>
      <c r="B140" s="3204">
        <v>5</v>
      </c>
      <c r="C140" s="3204">
        <v>2</v>
      </c>
      <c r="D140" s="3204">
        <v>6</v>
      </c>
      <c r="E140" s="3204">
        <v>602</v>
      </c>
      <c r="F140" s="3206" t="s">
        <v>3594</v>
      </c>
      <c r="G140" s="3202" t="s">
        <v>3585</v>
      </c>
      <c r="H140" s="3202" t="s">
        <v>3532</v>
      </c>
      <c r="I140" s="3212">
        <v>68.099999999999994</v>
      </c>
      <c r="J140" s="3204">
        <v>1</v>
      </c>
      <c r="P140" s="3209">
        <v>88.67</v>
      </c>
      <c r="Q140" s="3200">
        <v>15</v>
      </c>
      <c r="T140" s="3209">
        <v>88.67</v>
      </c>
      <c r="U140" s="3200">
        <v>15</v>
      </c>
      <c r="AD140" s="3208" t="s">
        <v>3593</v>
      </c>
      <c r="AE140" s="3200">
        <v>1</v>
      </c>
    </row>
    <row r="141" spans="1:31">
      <c r="A141" s="3204">
        <v>140</v>
      </c>
      <c r="B141" s="3204">
        <v>5</v>
      </c>
      <c r="C141" s="3204">
        <v>2</v>
      </c>
      <c r="D141" s="3204">
        <v>6</v>
      </c>
      <c r="E141" s="3204">
        <v>603</v>
      </c>
      <c r="F141" s="3206" t="s">
        <v>3574</v>
      </c>
      <c r="G141" s="3202" t="s">
        <v>3527</v>
      </c>
      <c r="H141" s="3202" t="s">
        <v>3448</v>
      </c>
      <c r="I141" s="3212">
        <v>87.58</v>
      </c>
      <c r="J141" s="3204">
        <v>1</v>
      </c>
      <c r="P141" s="3211" t="s">
        <v>403</v>
      </c>
      <c r="Q141" s="3200">
        <v>10</v>
      </c>
      <c r="T141" s="3211" t="s">
        <v>403</v>
      </c>
      <c r="U141" s="3200">
        <v>10</v>
      </c>
      <c r="AD141" s="3209">
        <v>72.83</v>
      </c>
      <c r="AE141" s="3200">
        <v>1</v>
      </c>
    </row>
    <row r="142" spans="1:31">
      <c r="A142" s="3204">
        <v>141</v>
      </c>
      <c r="B142" s="3204">
        <v>5</v>
      </c>
      <c r="C142" s="3204">
        <v>3</v>
      </c>
      <c r="D142" s="3204">
        <v>1</v>
      </c>
      <c r="E142" s="3204">
        <v>101</v>
      </c>
      <c r="F142" s="3206" t="s">
        <v>3597</v>
      </c>
      <c r="G142" s="3202" t="s">
        <v>3585</v>
      </c>
      <c r="H142" s="3202" t="s">
        <v>3448</v>
      </c>
      <c r="I142" s="3212">
        <v>68.39</v>
      </c>
      <c r="J142" s="3204">
        <v>1</v>
      </c>
      <c r="P142" s="3211" t="s">
        <v>3568</v>
      </c>
      <c r="Q142" s="3200">
        <v>5</v>
      </c>
      <c r="T142" s="3211" t="s">
        <v>3568</v>
      </c>
      <c r="U142" s="3200">
        <v>5</v>
      </c>
      <c r="AD142" s="3208" t="s">
        <v>3594</v>
      </c>
      <c r="AE142" s="3200">
        <v>6</v>
      </c>
    </row>
    <row r="143" spans="1:31">
      <c r="A143" s="3204">
        <v>142</v>
      </c>
      <c r="B143" s="3204">
        <v>5</v>
      </c>
      <c r="C143" s="3204">
        <v>3</v>
      </c>
      <c r="D143" s="3204">
        <v>1</v>
      </c>
      <c r="E143" s="3213">
        <v>102</v>
      </c>
      <c r="F143" s="3206" t="s">
        <v>3539</v>
      </c>
      <c r="G143" s="3202" t="s">
        <v>3527</v>
      </c>
      <c r="H143" s="3202" t="s">
        <v>3532</v>
      </c>
      <c r="I143" s="3212">
        <v>85.98</v>
      </c>
      <c r="J143" s="3204">
        <v>1</v>
      </c>
      <c r="P143" s="3209">
        <v>88.69</v>
      </c>
      <c r="Q143" s="3200">
        <v>5</v>
      </c>
      <c r="T143" s="3209">
        <v>88.69</v>
      </c>
      <c r="U143" s="3200">
        <v>5</v>
      </c>
      <c r="AD143" s="3209">
        <v>68.099999999999994</v>
      </c>
      <c r="AE143" s="3200">
        <v>6</v>
      </c>
    </row>
    <row r="144" spans="1:31">
      <c r="A144" s="3204">
        <v>143</v>
      </c>
      <c r="B144" s="3204">
        <v>5</v>
      </c>
      <c r="C144" s="3204">
        <v>3</v>
      </c>
      <c r="D144" s="3204">
        <v>1</v>
      </c>
      <c r="E144" s="3213">
        <v>103</v>
      </c>
      <c r="F144" s="3206" t="s">
        <v>3554</v>
      </c>
      <c r="G144" s="3202" t="s">
        <v>3527</v>
      </c>
      <c r="H144" s="3202" t="s">
        <v>3448</v>
      </c>
      <c r="I144" s="3212">
        <v>82.91</v>
      </c>
      <c r="J144" s="3204">
        <v>1</v>
      </c>
      <c r="P144" s="3211" t="s">
        <v>3568</v>
      </c>
      <c r="Q144" s="3200">
        <v>5</v>
      </c>
      <c r="T144" s="3211" t="s">
        <v>3568</v>
      </c>
      <c r="U144" s="3200">
        <v>5</v>
      </c>
      <c r="AD144" s="3208" t="s">
        <v>3595</v>
      </c>
      <c r="AE144" s="3200">
        <v>5</v>
      </c>
    </row>
    <row r="145" spans="1:31">
      <c r="A145" s="3204">
        <v>144</v>
      </c>
      <c r="B145" s="3204">
        <v>5</v>
      </c>
      <c r="C145" s="3204">
        <v>3</v>
      </c>
      <c r="D145" s="3204">
        <v>2</v>
      </c>
      <c r="E145" s="3213">
        <v>201</v>
      </c>
      <c r="F145" s="3206" t="s">
        <v>3568</v>
      </c>
      <c r="G145" s="3202" t="s">
        <v>3527</v>
      </c>
      <c r="H145" s="3202" t="s">
        <v>3448</v>
      </c>
      <c r="I145" s="3212">
        <v>86.37</v>
      </c>
      <c r="J145" s="3204">
        <v>1</v>
      </c>
      <c r="P145" s="3209">
        <v>88.73</v>
      </c>
      <c r="Q145" s="3200">
        <v>5</v>
      </c>
      <c r="T145" s="3209">
        <v>88.73</v>
      </c>
      <c r="U145" s="3200">
        <v>5</v>
      </c>
      <c r="AD145" s="3209">
        <v>69.92</v>
      </c>
      <c r="AE145" s="3200">
        <v>5</v>
      </c>
    </row>
    <row r="146" spans="1:31">
      <c r="A146" s="3204">
        <v>145</v>
      </c>
      <c r="B146" s="3204">
        <v>5</v>
      </c>
      <c r="C146" s="3204">
        <v>3</v>
      </c>
      <c r="D146" s="3204">
        <v>2</v>
      </c>
      <c r="E146" s="3213">
        <v>202</v>
      </c>
      <c r="F146" s="3206" t="s">
        <v>3539</v>
      </c>
      <c r="G146" s="3202" t="s">
        <v>3527</v>
      </c>
      <c r="H146" s="3202" t="s">
        <v>3532</v>
      </c>
      <c r="I146" s="3212">
        <v>85.98</v>
      </c>
      <c r="J146" s="3204">
        <v>1</v>
      </c>
      <c r="P146" s="3211" t="s">
        <v>3568</v>
      </c>
      <c r="Q146" s="3200">
        <v>5</v>
      </c>
      <c r="T146" s="3211" t="s">
        <v>3568</v>
      </c>
      <c r="U146" s="3200">
        <v>5</v>
      </c>
      <c r="AD146" s="3208" t="s">
        <v>3586</v>
      </c>
      <c r="AE146" s="3200">
        <v>5</v>
      </c>
    </row>
    <row r="147" spans="1:31">
      <c r="A147" s="3204">
        <v>146</v>
      </c>
      <c r="B147" s="3204">
        <v>5</v>
      </c>
      <c r="C147" s="3204">
        <v>3</v>
      </c>
      <c r="D147" s="3204">
        <v>2</v>
      </c>
      <c r="E147" s="3213">
        <v>203</v>
      </c>
      <c r="F147" s="3206" t="s">
        <v>3554</v>
      </c>
      <c r="G147" s="3202" t="s">
        <v>3527</v>
      </c>
      <c r="H147" s="3202" t="s">
        <v>3448</v>
      </c>
      <c r="I147" s="3212">
        <v>82.91</v>
      </c>
      <c r="J147" s="3204">
        <v>1</v>
      </c>
      <c r="P147" s="3209">
        <v>88.95</v>
      </c>
      <c r="Q147" s="3200">
        <v>5</v>
      </c>
      <c r="T147" s="3209">
        <v>88.95</v>
      </c>
      <c r="U147" s="3200">
        <v>5</v>
      </c>
      <c r="AD147" s="3209">
        <v>60.07</v>
      </c>
      <c r="AE147" s="3200">
        <v>5</v>
      </c>
    </row>
    <row r="148" spans="1:31">
      <c r="A148" s="3204">
        <v>147</v>
      </c>
      <c r="B148" s="3204">
        <v>5</v>
      </c>
      <c r="C148" s="3204">
        <v>3</v>
      </c>
      <c r="D148" s="3204">
        <v>3</v>
      </c>
      <c r="E148" s="3213">
        <v>301</v>
      </c>
      <c r="F148" s="3206" t="s">
        <v>3568</v>
      </c>
      <c r="G148" s="3202" t="s">
        <v>3527</v>
      </c>
      <c r="H148" s="3202" t="s">
        <v>3448</v>
      </c>
      <c r="I148" s="3212">
        <v>86.37</v>
      </c>
      <c r="J148" s="3204">
        <v>1</v>
      </c>
      <c r="P148" s="3211" t="s">
        <v>2507</v>
      </c>
      <c r="Q148" s="3200">
        <v>5</v>
      </c>
      <c r="T148" s="3211" t="s">
        <v>2507</v>
      </c>
      <c r="U148" s="3200">
        <v>5</v>
      </c>
      <c r="AD148" s="3208" t="s">
        <v>3598</v>
      </c>
      <c r="AE148" s="3200">
        <v>5</v>
      </c>
    </row>
    <row r="149" spans="1:31">
      <c r="A149" s="3204">
        <v>148</v>
      </c>
      <c r="B149" s="3204">
        <v>5</v>
      </c>
      <c r="C149" s="3204">
        <v>3</v>
      </c>
      <c r="D149" s="3204">
        <v>3</v>
      </c>
      <c r="E149" s="3204">
        <v>302</v>
      </c>
      <c r="F149" s="3206" t="s">
        <v>3539</v>
      </c>
      <c r="G149" s="3202" t="s">
        <v>3527</v>
      </c>
      <c r="H149" s="3202" t="s">
        <v>3532</v>
      </c>
      <c r="I149" s="3212">
        <v>85.98</v>
      </c>
      <c r="J149" s="3204">
        <v>1</v>
      </c>
      <c r="P149" s="3209">
        <v>89.81</v>
      </c>
      <c r="Q149" s="3200">
        <v>5</v>
      </c>
      <c r="T149" s="3209">
        <v>89.81</v>
      </c>
      <c r="U149" s="3200">
        <v>5</v>
      </c>
      <c r="AD149" s="3209">
        <v>61.66</v>
      </c>
      <c r="AE149" s="3200">
        <v>5</v>
      </c>
    </row>
    <row r="150" spans="1:31">
      <c r="A150" s="3204">
        <v>149</v>
      </c>
      <c r="B150" s="3204">
        <v>5</v>
      </c>
      <c r="C150" s="3204">
        <v>3</v>
      </c>
      <c r="D150" s="3204">
        <v>3</v>
      </c>
      <c r="E150" s="3204">
        <v>303</v>
      </c>
      <c r="F150" s="3206" t="s">
        <v>3554</v>
      </c>
      <c r="G150" s="3202" t="s">
        <v>3527</v>
      </c>
      <c r="H150" s="3202" t="s">
        <v>3448</v>
      </c>
      <c r="I150" s="3212">
        <v>82.91</v>
      </c>
      <c r="J150" s="3204">
        <v>1</v>
      </c>
      <c r="P150" s="3211" t="s">
        <v>3575</v>
      </c>
      <c r="Q150" s="3200">
        <v>5</v>
      </c>
      <c r="T150" s="3211" t="s">
        <v>3575</v>
      </c>
      <c r="U150" s="3200">
        <v>5</v>
      </c>
      <c r="AD150" s="3208" t="s">
        <v>3600</v>
      </c>
      <c r="AE150" s="3200">
        <v>5</v>
      </c>
    </row>
    <row r="151" spans="1:31">
      <c r="A151" s="3204">
        <v>150</v>
      </c>
      <c r="B151" s="3204">
        <v>5</v>
      </c>
      <c r="C151" s="3204">
        <v>3</v>
      </c>
      <c r="D151" s="3204">
        <v>4</v>
      </c>
      <c r="E151" s="3204">
        <v>401</v>
      </c>
      <c r="F151" s="3206" t="s">
        <v>3568</v>
      </c>
      <c r="G151" s="3202" t="s">
        <v>3527</v>
      </c>
      <c r="H151" s="3202" t="s">
        <v>3448</v>
      </c>
      <c r="I151" s="3212">
        <v>86.37</v>
      </c>
      <c r="J151" s="3204">
        <v>1</v>
      </c>
      <c r="P151" s="3208" t="s">
        <v>3578</v>
      </c>
      <c r="Q151" s="3200">
        <v>21</v>
      </c>
      <c r="T151" s="3208" t="s">
        <v>3578</v>
      </c>
      <c r="U151" s="3200">
        <v>21</v>
      </c>
      <c r="AD151" s="3209">
        <v>73.06</v>
      </c>
      <c r="AE151" s="3200">
        <v>5</v>
      </c>
    </row>
    <row r="152" spans="1:31">
      <c r="A152" s="3204">
        <v>151</v>
      </c>
      <c r="B152" s="3204">
        <v>5</v>
      </c>
      <c r="C152" s="3204">
        <v>3</v>
      </c>
      <c r="D152" s="3204">
        <v>4</v>
      </c>
      <c r="E152" s="3204">
        <v>402</v>
      </c>
      <c r="F152" s="3206" t="s">
        <v>3539</v>
      </c>
      <c r="G152" s="3202" t="s">
        <v>3527</v>
      </c>
      <c r="H152" s="3202" t="s">
        <v>3532</v>
      </c>
      <c r="I152" s="3212">
        <v>85.98</v>
      </c>
      <c r="J152" s="3204">
        <v>1</v>
      </c>
      <c r="P152" s="3209">
        <v>88.02</v>
      </c>
      <c r="Q152" s="3200">
        <v>6</v>
      </c>
      <c r="T152" s="3209">
        <v>88.02</v>
      </c>
      <c r="U152" s="3200">
        <v>6</v>
      </c>
      <c r="AD152" s="3208" t="s">
        <v>3599</v>
      </c>
      <c r="AE152" s="3200">
        <v>5</v>
      </c>
    </row>
    <row r="153" spans="1:31">
      <c r="A153" s="3204">
        <v>152</v>
      </c>
      <c r="B153" s="3204">
        <v>5</v>
      </c>
      <c r="C153" s="3204">
        <v>3</v>
      </c>
      <c r="D153" s="3204">
        <v>4</v>
      </c>
      <c r="E153" s="3204">
        <v>403</v>
      </c>
      <c r="F153" s="3206" t="s">
        <v>3554</v>
      </c>
      <c r="G153" s="3202" t="s">
        <v>3527</v>
      </c>
      <c r="H153" s="3202" t="s">
        <v>3448</v>
      </c>
      <c r="I153" s="3212">
        <v>82.91</v>
      </c>
      <c r="J153" s="3204">
        <v>1</v>
      </c>
      <c r="P153" s="3211" t="s">
        <v>3539</v>
      </c>
      <c r="Q153" s="3200">
        <v>6</v>
      </c>
      <c r="T153" s="3211" t="s">
        <v>3539</v>
      </c>
      <c r="U153" s="3200">
        <v>6</v>
      </c>
      <c r="AD153" s="3209">
        <v>57.3</v>
      </c>
      <c r="AE153" s="3200">
        <v>5</v>
      </c>
    </row>
    <row r="154" spans="1:31">
      <c r="A154" s="3204">
        <v>153</v>
      </c>
      <c r="B154" s="3204">
        <v>5</v>
      </c>
      <c r="C154" s="3204">
        <v>3</v>
      </c>
      <c r="D154" s="3204">
        <v>5</v>
      </c>
      <c r="E154" s="3204">
        <v>501</v>
      </c>
      <c r="F154" s="3206" t="s">
        <v>3568</v>
      </c>
      <c r="G154" s="3202" t="s">
        <v>3527</v>
      </c>
      <c r="H154" s="3202" t="s">
        <v>3448</v>
      </c>
      <c r="I154" s="3212">
        <v>86.37</v>
      </c>
      <c r="J154" s="3204">
        <v>1</v>
      </c>
      <c r="P154" s="3209">
        <v>88.25</v>
      </c>
      <c r="Q154" s="3200">
        <v>5</v>
      </c>
      <c r="T154" s="3209">
        <v>88.25</v>
      </c>
      <c r="U154" s="3200">
        <v>5</v>
      </c>
      <c r="AD154" s="3208" t="s">
        <v>3590</v>
      </c>
      <c r="AE154" s="3200">
        <v>5</v>
      </c>
    </row>
    <row r="155" spans="1:31">
      <c r="A155" s="3204">
        <v>154</v>
      </c>
      <c r="B155" s="3204">
        <v>5</v>
      </c>
      <c r="C155" s="3204">
        <v>3</v>
      </c>
      <c r="D155" s="3204">
        <v>5</v>
      </c>
      <c r="E155" s="3204">
        <v>502</v>
      </c>
      <c r="F155" s="3206" t="s">
        <v>3539</v>
      </c>
      <c r="G155" s="3202" t="s">
        <v>3527</v>
      </c>
      <c r="H155" s="3202" t="s">
        <v>3532</v>
      </c>
      <c r="I155" s="3212">
        <v>85.98</v>
      </c>
      <c r="J155" s="3204">
        <v>1</v>
      </c>
      <c r="P155" s="3211" t="s">
        <v>3539</v>
      </c>
      <c r="Q155" s="3200">
        <v>5</v>
      </c>
      <c r="T155" s="3211" t="s">
        <v>3539</v>
      </c>
      <c r="U155" s="3200">
        <v>5</v>
      </c>
      <c r="AD155" s="3209">
        <v>55.66</v>
      </c>
      <c r="AE155" s="3200">
        <v>5</v>
      </c>
    </row>
    <row r="156" spans="1:31">
      <c r="A156" s="3204">
        <v>155</v>
      </c>
      <c r="B156" s="3204">
        <v>5</v>
      </c>
      <c r="C156" s="3204">
        <v>3</v>
      </c>
      <c r="D156" s="3204">
        <v>5</v>
      </c>
      <c r="E156" s="3204">
        <v>503</v>
      </c>
      <c r="F156" s="3206" t="s">
        <v>3554</v>
      </c>
      <c r="G156" s="3202" t="s">
        <v>3527</v>
      </c>
      <c r="H156" s="3202" t="s">
        <v>3448</v>
      </c>
      <c r="I156" s="3212">
        <v>82.91</v>
      </c>
      <c r="J156" s="3204">
        <v>1</v>
      </c>
      <c r="P156" s="3209">
        <v>88.29</v>
      </c>
      <c r="Q156" s="3200">
        <v>10</v>
      </c>
      <c r="T156" s="3209">
        <v>88.29</v>
      </c>
      <c r="U156" s="3200">
        <v>10</v>
      </c>
      <c r="AD156" s="3208" t="s">
        <v>3589</v>
      </c>
      <c r="AE156" s="3200">
        <v>10</v>
      </c>
    </row>
    <row r="157" spans="1:31">
      <c r="A157" s="3204">
        <v>156</v>
      </c>
      <c r="B157" s="3204">
        <v>5</v>
      </c>
      <c r="C157" s="3204">
        <v>3</v>
      </c>
      <c r="D157" s="3204">
        <v>6</v>
      </c>
      <c r="E157" s="3204">
        <v>601</v>
      </c>
      <c r="F157" s="3206" t="s">
        <v>3568</v>
      </c>
      <c r="G157" s="3202" t="s">
        <v>3527</v>
      </c>
      <c r="H157" s="3202" t="s">
        <v>3448</v>
      </c>
      <c r="I157" s="3212">
        <v>86.37</v>
      </c>
      <c r="J157" s="3204">
        <v>1</v>
      </c>
      <c r="P157" s="3211" t="s">
        <v>409</v>
      </c>
      <c r="Q157" s="3200">
        <v>5</v>
      </c>
      <c r="T157" s="3211" t="s">
        <v>409</v>
      </c>
      <c r="U157" s="3200">
        <v>5</v>
      </c>
      <c r="AD157" s="3209">
        <v>62.89</v>
      </c>
      <c r="AE157" s="3200">
        <v>10</v>
      </c>
    </row>
    <row r="158" spans="1:31">
      <c r="A158" s="3204">
        <v>157</v>
      </c>
      <c r="B158" s="3204">
        <v>5</v>
      </c>
      <c r="C158" s="3204">
        <v>3</v>
      </c>
      <c r="D158" s="3204">
        <v>6</v>
      </c>
      <c r="E158" s="3204">
        <v>602</v>
      </c>
      <c r="F158" s="3206" t="s">
        <v>3539</v>
      </c>
      <c r="G158" s="3202" t="s">
        <v>3527</v>
      </c>
      <c r="H158" s="3202" t="s">
        <v>3532</v>
      </c>
      <c r="I158" s="3212">
        <v>85.98</v>
      </c>
      <c r="J158" s="3204">
        <v>1</v>
      </c>
      <c r="P158" s="3211" t="s">
        <v>3539</v>
      </c>
      <c r="Q158" s="3200">
        <v>5</v>
      </c>
      <c r="T158" s="3211" t="s">
        <v>3539</v>
      </c>
      <c r="U158" s="3200">
        <v>5</v>
      </c>
      <c r="AD158" s="3208" t="s">
        <v>3587</v>
      </c>
      <c r="AE158" s="3200">
        <v>5</v>
      </c>
    </row>
    <row r="159" spans="1:31">
      <c r="A159" s="3204">
        <v>158</v>
      </c>
      <c r="B159" s="3204">
        <v>5</v>
      </c>
      <c r="C159" s="3204">
        <v>3</v>
      </c>
      <c r="D159" s="3204">
        <v>6</v>
      </c>
      <c r="E159" s="3204">
        <v>603</v>
      </c>
      <c r="F159" s="3206" t="s">
        <v>3554</v>
      </c>
      <c r="G159" s="3202" t="s">
        <v>3527</v>
      </c>
      <c r="H159" s="3202" t="s">
        <v>3448</v>
      </c>
      <c r="I159" s="3212">
        <v>82.91</v>
      </c>
      <c r="J159" s="3204">
        <v>1</v>
      </c>
      <c r="P159" s="3208" t="s">
        <v>3579</v>
      </c>
      <c r="Q159" s="3200">
        <v>10</v>
      </c>
      <c r="T159" s="3208" t="s">
        <v>3579</v>
      </c>
      <c r="U159" s="3200">
        <v>10</v>
      </c>
      <c r="AD159" s="3209">
        <v>62.2</v>
      </c>
      <c r="AE159" s="3200">
        <v>5</v>
      </c>
    </row>
    <row r="160" spans="1:31">
      <c r="A160" s="3204">
        <v>159</v>
      </c>
      <c r="B160" s="3204">
        <v>5</v>
      </c>
      <c r="C160" s="3204">
        <v>4</v>
      </c>
      <c r="D160" s="3204">
        <v>1</v>
      </c>
      <c r="E160" s="3204">
        <v>101</v>
      </c>
      <c r="F160" s="3206" t="s">
        <v>404</v>
      </c>
      <c r="G160" s="3202" t="s">
        <v>3527</v>
      </c>
      <c r="H160" s="3202" t="s">
        <v>3448</v>
      </c>
      <c r="I160" s="3212">
        <v>82.91</v>
      </c>
      <c r="J160" s="3204">
        <v>1</v>
      </c>
      <c r="P160" s="3209">
        <v>68.400000000000006</v>
      </c>
      <c r="Q160" s="3200">
        <v>5</v>
      </c>
      <c r="T160" s="3209">
        <v>68.400000000000006</v>
      </c>
      <c r="U160" s="3200">
        <v>5</v>
      </c>
      <c r="AD160" s="3208" t="s">
        <v>3588</v>
      </c>
      <c r="AE160" s="3200">
        <v>5</v>
      </c>
    </row>
    <row r="161" spans="1:31">
      <c r="A161" s="3204">
        <v>160</v>
      </c>
      <c r="B161" s="3204">
        <v>5</v>
      </c>
      <c r="C161" s="3204">
        <v>4</v>
      </c>
      <c r="D161" s="3204">
        <v>1</v>
      </c>
      <c r="E161" s="3213">
        <v>102</v>
      </c>
      <c r="F161" s="3206" t="s">
        <v>409</v>
      </c>
      <c r="G161" s="3202" t="s">
        <v>3527</v>
      </c>
      <c r="H161" s="3202" t="s">
        <v>3532</v>
      </c>
      <c r="I161" s="3212">
        <v>85.98</v>
      </c>
      <c r="J161" s="3204">
        <v>1</v>
      </c>
      <c r="P161" s="3211" t="s">
        <v>3580</v>
      </c>
      <c r="Q161" s="3200">
        <v>5</v>
      </c>
      <c r="T161" s="3211" t="s">
        <v>3580</v>
      </c>
      <c r="U161" s="3200">
        <v>5</v>
      </c>
      <c r="AD161" s="3209">
        <v>54.89</v>
      </c>
      <c r="AE161" s="3200">
        <v>5</v>
      </c>
    </row>
    <row r="162" spans="1:31">
      <c r="A162" s="3204">
        <v>161</v>
      </c>
      <c r="B162" s="3204">
        <v>5</v>
      </c>
      <c r="C162" s="3204">
        <v>4</v>
      </c>
      <c r="D162" s="3204">
        <v>1</v>
      </c>
      <c r="E162" s="3213">
        <v>103</v>
      </c>
      <c r="F162" s="3206" t="s">
        <v>3596</v>
      </c>
      <c r="G162" s="3202" t="s">
        <v>3585</v>
      </c>
      <c r="H162" s="3202" t="s">
        <v>3448</v>
      </c>
      <c r="I162" s="3212">
        <v>68.39</v>
      </c>
      <c r="J162" s="3204">
        <v>1</v>
      </c>
      <c r="P162" s="3209">
        <v>68.61</v>
      </c>
      <c r="Q162" s="3200">
        <v>5</v>
      </c>
      <c r="T162" s="3209">
        <v>68.61</v>
      </c>
      <c r="U162" s="3200">
        <v>5</v>
      </c>
      <c r="AD162" s="3207" t="s">
        <v>3601</v>
      </c>
      <c r="AE162" s="3200">
        <v>653</v>
      </c>
    </row>
    <row r="163" spans="1:31">
      <c r="A163" s="3204">
        <v>162</v>
      </c>
      <c r="B163" s="3204">
        <v>5</v>
      </c>
      <c r="C163" s="3204">
        <v>4</v>
      </c>
      <c r="D163" s="3204">
        <v>2</v>
      </c>
      <c r="E163" s="3213">
        <v>201</v>
      </c>
      <c r="F163" s="3206" t="s">
        <v>404</v>
      </c>
      <c r="G163" s="3202" t="s">
        <v>3527</v>
      </c>
      <c r="H163" s="3202" t="s">
        <v>3448</v>
      </c>
      <c r="I163" s="3212">
        <v>82.91</v>
      </c>
      <c r="J163" s="3204">
        <v>1</v>
      </c>
      <c r="P163" s="3211" t="s">
        <v>3580</v>
      </c>
      <c r="Q163" s="3200">
        <v>5</v>
      </c>
      <c r="T163" s="3211" t="s">
        <v>3580</v>
      </c>
      <c r="U163" s="3200">
        <v>5</v>
      </c>
    </row>
    <row r="164" spans="1:31">
      <c r="A164" s="3204">
        <v>163</v>
      </c>
      <c r="B164" s="3204">
        <v>5</v>
      </c>
      <c r="C164" s="3204">
        <v>4</v>
      </c>
      <c r="D164" s="3204">
        <v>2</v>
      </c>
      <c r="E164" s="3213">
        <v>202</v>
      </c>
      <c r="F164" s="3206" t="s">
        <v>409</v>
      </c>
      <c r="G164" s="3202" t="s">
        <v>3527</v>
      </c>
      <c r="H164" s="3202" t="s">
        <v>3532</v>
      </c>
      <c r="I164" s="3212">
        <v>85.98</v>
      </c>
      <c r="J164" s="3204">
        <v>1</v>
      </c>
      <c r="P164" s="3207" t="s">
        <v>3581</v>
      </c>
      <c r="Q164" s="3200">
        <v>20</v>
      </c>
      <c r="T164" s="3207" t="s">
        <v>3581</v>
      </c>
      <c r="U164" s="3200">
        <v>20</v>
      </c>
    </row>
    <row r="165" spans="1:31">
      <c r="A165" s="3204">
        <v>164</v>
      </c>
      <c r="B165" s="3204">
        <v>5</v>
      </c>
      <c r="C165" s="3204">
        <v>4</v>
      </c>
      <c r="D165" s="3204">
        <v>2</v>
      </c>
      <c r="E165" s="3213">
        <v>203</v>
      </c>
      <c r="F165" s="3206" t="s">
        <v>403</v>
      </c>
      <c r="G165" s="3202" t="s">
        <v>3527</v>
      </c>
      <c r="H165" s="3202" t="s">
        <v>3448</v>
      </c>
      <c r="I165" s="3212">
        <v>86.37</v>
      </c>
      <c r="J165" s="3204">
        <v>1</v>
      </c>
      <c r="P165" s="3208" t="s">
        <v>3547</v>
      </c>
      <c r="Q165" s="3200">
        <v>15</v>
      </c>
      <c r="T165" s="3208" t="s">
        <v>3547</v>
      </c>
      <c r="U165" s="3200">
        <v>15</v>
      </c>
    </row>
    <row r="166" spans="1:31">
      <c r="A166" s="3204">
        <v>165</v>
      </c>
      <c r="B166" s="3204">
        <v>5</v>
      </c>
      <c r="C166" s="3204">
        <v>4</v>
      </c>
      <c r="D166" s="3204">
        <v>3</v>
      </c>
      <c r="E166" s="3213">
        <v>301</v>
      </c>
      <c r="F166" s="3206" t="s">
        <v>404</v>
      </c>
      <c r="G166" s="3202" t="s">
        <v>3527</v>
      </c>
      <c r="H166" s="3202" t="s">
        <v>3448</v>
      </c>
      <c r="I166" s="3212">
        <v>82.91</v>
      </c>
      <c r="J166" s="3204">
        <v>1</v>
      </c>
      <c r="P166" s="3209">
        <v>87.21</v>
      </c>
      <c r="Q166" s="3200">
        <v>10</v>
      </c>
      <c r="T166" s="3209">
        <v>87.21</v>
      </c>
      <c r="U166" s="3200">
        <v>10</v>
      </c>
    </row>
    <row r="167" spans="1:31">
      <c r="A167" s="3204">
        <v>166</v>
      </c>
      <c r="B167" s="3204">
        <v>5</v>
      </c>
      <c r="C167" s="3204">
        <v>4</v>
      </c>
      <c r="D167" s="3204">
        <v>3</v>
      </c>
      <c r="E167" s="3204">
        <v>302</v>
      </c>
      <c r="F167" s="3206" t="s">
        <v>409</v>
      </c>
      <c r="G167" s="3202" t="s">
        <v>3527</v>
      </c>
      <c r="H167" s="3202" t="s">
        <v>3532</v>
      </c>
      <c r="I167" s="3212">
        <v>85.98</v>
      </c>
      <c r="J167" s="3204">
        <v>1</v>
      </c>
      <c r="P167" s="3211" t="s">
        <v>3582</v>
      </c>
      <c r="Q167" s="3200">
        <v>5</v>
      </c>
      <c r="T167" s="3211" t="s">
        <v>3582</v>
      </c>
      <c r="U167" s="3200">
        <v>5</v>
      </c>
    </row>
    <row r="168" spans="1:31">
      <c r="A168" s="3204">
        <v>167</v>
      </c>
      <c r="B168" s="3204">
        <v>5</v>
      </c>
      <c r="C168" s="3204">
        <v>4</v>
      </c>
      <c r="D168" s="3204">
        <v>3</v>
      </c>
      <c r="E168" s="3204">
        <v>303</v>
      </c>
      <c r="F168" s="3206" t="s">
        <v>403</v>
      </c>
      <c r="G168" s="3202" t="s">
        <v>3527</v>
      </c>
      <c r="H168" s="3202" t="s">
        <v>3448</v>
      </c>
      <c r="I168" s="3212">
        <v>86.37</v>
      </c>
      <c r="J168" s="3204">
        <v>1</v>
      </c>
      <c r="P168" s="3211" t="s">
        <v>3583</v>
      </c>
      <c r="Q168" s="3200">
        <v>5</v>
      </c>
      <c r="T168" s="3211" t="s">
        <v>3583</v>
      </c>
      <c r="U168" s="3200">
        <v>5</v>
      </c>
    </row>
    <row r="169" spans="1:31">
      <c r="A169" s="3204">
        <v>168</v>
      </c>
      <c r="B169" s="3204">
        <v>5</v>
      </c>
      <c r="C169" s="3204">
        <v>4</v>
      </c>
      <c r="D169" s="3204">
        <v>4</v>
      </c>
      <c r="E169" s="3204">
        <v>401</v>
      </c>
      <c r="F169" s="3206" t="s">
        <v>404</v>
      </c>
      <c r="G169" s="3202" t="s">
        <v>3527</v>
      </c>
      <c r="H169" s="3202" t="s">
        <v>3448</v>
      </c>
      <c r="I169" s="3212">
        <v>82.91</v>
      </c>
      <c r="J169" s="3204">
        <v>1</v>
      </c>
      <c r="P169" s="3209">
        <v>87.48</v>
      </c>
      <c r="Q169" s="3200">
        <v>5</v>
      </c>
      <c r="T169" s="3209">
        <v>87.48</v>
      </c>
      <c r="U169" s="3200">
        <v>5</v>
      </c>
    </row>
    <row r="170" spans="1:31">
      <c r="A170" s="3204">
        <v>169</v>
      </c>
      <c r="B170" s="3204">
        <v>5</v>
      </c>
      <c r="C170" s="3204">
        <v>4</v>
      </c>
      <c r="D170" s="3204">
        <v>4</v>
      </c>
      <c r="E170" s="3204">
        <v>402</v>
      </c>
      <c r="F170" s="3206" t="s">
        <v>409</v>
      </c>
      <c r="G170" s="3202" t="s">
        <v>3527</v>
      </c>
      <c r="H170" s="3202" t="s">
        <v>3532</v>
      </c>
      <c r="I170" s="3212">
        <v>85.98</v>
      </c>
      <c r="J170" s="3204">
        <v>1</v>
      </c>
      <c r="P170" s="3211" t="s">
        <v>3582</v>
      </c>
      <c r="Q170" s="3200">
        <v>5</v>
      </c>
      <c r="T170" s="3211" t="s">
        <v>3582</v>
      </c>
      <c r="U170" s="3200">
        <v>5</v>
      </c>
    </row>
    <row r="171" spans="1:31">
      <c r="A171" s="3204">
        <v>170</v>
      </c>
      <c r="B171" s="3204">
        <v>5</v>
      </c>
      <c r="C171" s="3204">
        <v>4</v>
      </c>
      <c r="D171" s="3204">
        <v>4</v>
      </c>
      <c r="E171" s="3204">
        <v>403</v>
      </c>
      <c r="F171" s="3206" t="s">
        <v>403</v>
      </c>
      <c r="G171" s="3202" t="s">
        <v>3527</v>
      </c>
      <c r="H171" s="3202" t="s">
        <v>3448</v>
      </c>
      <c r="I171" s="3212">
        <v>86.37</v>
      </c>
      <c r="J171" s="3204">
        <v>1</v>
      </c>
      <c r="P171" s="3208" t="s">
        <v>3532</v>
      </c>
      <c r="Q171" s="3200">
        <v>5</v>
      </c>
      <c r="T171" s="3208" t="s">
        <v>3532</v>
      </c>
      <c r="U171" s="3200">
        <v>5</v>
      </c>
    </row>
    <row r="172" spans="1:31">
      <c r="A172" s="3204">
        <v>171</v>
      </c>
      <c r="B172" s="3204">
        <v>5</v>
      </c>
      <c r="C172" s="3204">
        <v>4</v>
      </c>
      <c r="D172" s="3204">
        <v>5</v>
      </c>
      <c r="E172" s="3204">
        <v>501</v>
      </c>
      <c r="F172" s="3206" t="s">
        <v>404</v>
      </c>
      <c r="G172" s="3202" t="s">
        <v>3527</v>
      </c>
      <c r="H172" s="3202" t="s">
        <v>3448</v>
      </c>
      <c r="I172" s="3212">
        <v>82.91</v>
      </c>
      <c r="J172" s="3204">
        <v>1</v>
      </c>
      <c r="P172" s="3209">
        <v>88.2</v>
      </c>
      <c r="Q172" s="3200">
        <v>5</v>
      </c>
      <c r="T172" s="3209">
        <v>88.2</v>
      </c>
      <c r="U172" s="3200">
        <v>5</v>
      </c>
    </row>
    <row r="173" spans="1:31">
      <c r="A173" s="3204">
        <v>172</v>
      </c>
      <c r="B173" s="3204">
        <v>5</v>
      </c>
      <c r="C173" s="3204">
        <v>4</v>
      </c>
      <c r="D173" s="3204">
        <v>5</v>
      </c>
      <c r="E173" s="3204">
        <v>502</v>
      </c>
      <c r="F173" s="3206" t="s">
        <v>409</v>
      </c>
      <c r="G173" s="3202" t="s">
        <v>3527</v>
      </c>
      <c r="H173" s="3202" t="s">
        <v>3532</v>
      </c>
      <c r="I173" s="3212">
        <v>85.98</v>
      </c>
      <c r="J173" s="3204">
        <v>1</v>
      </c>
      <c r="P173" s="3211" t="s">
        <v>3584</v>
      </c>
      <c r="Q173" s="3200">
        <v>5</v>
      </c>
      <c r="T173" s="3211" t="s">
        <v>3584</v>
      </c>
      <c r="U173" s="3200">
        <v>5</v>
      </c>
    </row>
    <row r="174" spans="1:31">
      <c r="A174" s="3204">
        <v>173</v>
      </c>
      <c r="B174" s="3204">
        <v>5</v>
      </c>
      <c r="C174" s="3204">
        <v>4</v>
      </c>
      <c r="D174" s="3204">
        <v>5</v>
      </c>
      <c r="E174" s="3204">
        <v>503</v>
      </c>
      <c r="F174" s="3206" t="s">
        <v>403</v>
      </c>
      <c r="G174" s="3202" t="s">
        <v>3527</v>
      </c>
      <c r="H174" s="3202" t="s">
        <v>3448</v>
      </c>
      <c r="I174" s="3212">
        <v>86.37</v>
      </c>
      <c r="J174" s="3204">
        <v>1</v>
      </c>
      <c r="P174" s="3207" t="s">
        <v>3585</v>
      </c>
      <c r="Q174" s="3200">
        <v>67</v>
      </c>
      <c r="T174" s="3207" t="s">
        <v>3585</v>
      </c>
      <c r="U174" s="3200">
        <v>67</v>
      </c>
    </row>
    <row r="175" spans="1:31">
      <c r="A175" s="3204">
        <v>174</v>
      </c>
      <c r="B175" s="3204">
        <v>5</v>
      </c>
      <c r="C175" s="3204">
        <v>4</v>
      </c>
      <c r="D175" s="3204">
        <v>6</v>
      </c>
      <c r="E175" s="3204">
        <v>601</v>
      </c>
      <c r="F175" s="3206" t="s">
        <v>404</v>
      </c>
      <c r="G175" s="3202" t="s">
        <v>3527</v>
      </c>
      <c r="H175" s="3202" t="s">
        <v>3448</v>
      </c>
      <c r="I175" s="3212">
        <v>82.91</v>
      </c>
      <c r="J175" s="3204">
        <v>1</v>
      </c>
      <c r="P175" s="3208" t="s">
        <v>3536</v>
      </c>
      <c r="Q175" s="3200">
        <v>15</v>
      </c>
      <c r="T175" s="3208" t="s">
        <v>3536</v>
      </c>
      <c r="U175" s="3200">
        <v>15</v>
      </c>
    </row>
    <row r="176" spans="1:31">
      <c r="A176" s="3204">
        <v>175</v>
      </c>
      <c r="B176" s="3204">
        <v>5</v>
      </c>
      <c r="C176" s="3204">
        <v>4</v>
      </c>
      <c r="D176" s="3204">
        <v>6</v>
      </c>
      <c r="E176" s="3204">
        <v>602</v>
      </c>
      <c r="F176" s="3206" t="s">
        <v>409</v>
      </c>
      <c r="G176" s="3202" t="s">
        <v>3527</v>
      </c>
      <c r="H176" s="3202" t="s">
        <v>3532</v>
      </c>
      <c r="I176" s="3212">
        <v>85.98</v>
      </c>
      <c r="J176" s="3204">
        <v>1</v>
      </c>
      <c r="P176" s="3209">
        <v>54.89</v>
      </c>
      <c r="Q176" s="3200">
        <v>5</v>
      </c>
      <c r="T176" s="3209">
        <v>54.89</v>
      </c>
      <c r="U176" s="3200">
        <v>5</v>
      </c>
    </row>
    <row r="177" spans="1:21">
      <c r="A177" s="3204">
        <v>176</v>
      </c>
      <c r="B177" s="3204">
        <v>5</v>
      </c>
      <c r="C177" s="3204">
        <v>4</v>
      </c>
      <c r="D177" s="3204">
        <v>6</v>
      </c>
      <c r="E177" s="3204">
        <v>603</v>
      </c>
      <c r="F177" s="3206" t="s">
        <v>403</v>
      </c>
      <c r="G177" s="3202" t="s">
        <v>3527</v>
      </c>
      <c r="H177" s="3202" t="s">
        <v>3448</v>
      </c>
      <c r="I177" s="3212">
        <v>86.37</v>
      </c>
      <c r="J177" s="3204">
        <v>1</v>
      </c>
      <c r="P177" s="3211" t="s">
        <v>3588</v>
      </c>
      <c r="Q177" s="3200">
        <v>5</v>
      </c>
      <c r="T177" s="3211" t="s">
        <v>3588</v>
      </c>
      <c r="U177" s="3200">
        <v>5</v>
      </c>
    </row>
    <row r="178" spans="1:21">
      <c r="A178" s="3204">
        <v>177</v>
      </c>
      <c r="B178" s="3204">
        <v>5</v>
      </c>
      <c r="C178" s="3204">
        <v>5</v>
      </c>
      <c r="D178" s="3204">
        <v>1</v>
      </c>
      <c r="E178" s="3204">
        <v>101</v>
      </c>
      <c r="F178" s="3206" t="s">
        <v>3597</v>
      </c>
      <c r="G178" s="3202" t="s">
        <v>3585</v>
      </c>
      <c r="H178" s="3202" t="s">
        <v>3448</v>
      </c>
      <c r="I178" s="3212">
        <v>68.39</v>
      </c>
      <c r="J178" s="3204">
        <v>1</v>
      </c>
      <c r="P178" s="3209">
        <v>60.07</v>
      </c>
      <c r="Q178" s="3200">
        <v>5</v>
      </c>
      <c r="T178" s="3209">
        <v>60.07</v>
      </c>
      <c r="U178" s="3200">
        <v>5</v>
      </c>
    </row>
    <row r="179" spans="1:21">
      <c r="A179" s="3204">
        <v>178</v>
      </c>
      <c r="B179" s="3204">
        <v>5</v>
      </c>
      <c r="C179" s="3204">
        <v>5</v>
      </c>
      <c r="D179" s="3204">
        <v>1</v>
      </c>
      <c r="E179" s="3213">
        <v>102</v>
      </c>
      <c r="F179" s="3206" t="s">
        <v>3539</v>
      </c>
      <c r="G179" s="3202" t="s">
        <v>3527</v>
      </c>
      <c r="H179" s="3202" t="s">
        <v>3532</v>
      </c>
      <c r="I179" s="3212">
        <v>85.98</v>
      </c>
      <c r="J179" s="3204">
        <v>1</v>
      </c>
      <c r="P179" s="3211" t="s">
        <v>3586</v>
      </c>
      <c r="Q179" s="3200">
        <v>5</v>
      </c>
      <c r="T179" s="3211" t="s">
        <v>3586</v>
      </c>
      <c r="U179" s="3200">
        <v>5</v>
      </c>
    </row>
    <row r="180" spans="1:21">
      <c r="A180" s="3204">
        <v>179</v>
      </c>
      <c r="B180" s="3204">
        <v>5</v>
      </c>
      <c r="C180" s="3204">
        <v>5</v>
      </c>
      <c r="D180" s="3204">
        <v>1</v>
      </c>
      <c r="E180" s="3213">
        <v>103</v>
      </c>
      <c r="F180" s="3206" t="s">
        <v>3554</v>
      </c>
      <c r="G180" s="3202" t="s">
        <v>3527</v>
      </c>
      <c r="H180" s="3202" t="s">
        <v>3448</v>
      </c>
      <c r="I180" s="3212">
        <v>83.65</v>
      </c>
      <c r="J180" s="3204">
        <v>1</v>
      </c>
      <c r="P180" s="3209">
        <v>62.2</v>
      </c>
      <c r="Q180" s="3200">
        <v>5</v>
      </c>
      <c r="T180" s="3209">
        <v>62.2</v>
      </c>
      <c r="U180" s="3200">
        <v>5</v>
      </c>
    </row>
    <row r="181" spans="1:21">
      <c r="A181" s="3204">
        <v>180</v>
      </c>
      <c r="B181" s="3204">
        <v>5</v>
      </c>
      <c r="C181" s="3204">
        <v>5</v>
      </c>
      <c r="D181" s="3204">
        <v>2</v>
      </c>
      <c r="E181" s="3213">
        <v>201</v>
      </c>
      <c r="F181" s="3206" t="s">
        <v>3568</v>
      </c>
      <c r="G181" s="3202" t="s">
        <v>3527</v>
      </c>
      <c r="H181" s="3202" t="s">
        <v>3448</v>
      </c>
      <c r="I181" s="3212">
        <v>86.37</v>
      </c>
      <c r="J181" s="3204">
        <v>1</v>
      </c>
      <c r="P181" s="3211" t="s">
        <v>3587</v>
      </c>
      <c r="Q181" s="3200">
        <v>5</v>
      </c>
      <c r="T181" s="3211" t="s">
        <v>3587</v>
      </c>
      <c r="U181" s="3200">
        <v>5</v>
      </c>
    </row>
    <row r="182" spans="1:21">
      <c r="A182" s="3204">
        <v>181</v>
      </c>
      <c r="B182" s="3204">
        <v>5</v>
      </c>
      <c r="C182" s="3204">
        <v>5</v>
      </c>
      <c r="D182" s="3204">
        <v>2</v>
      </c>
      <c r="E182" s="3213">
        <v>202</v>
      </c>
      <c r="F182" s="3206" t="s">
        <v>3539</v>
      </c>
      <c r="G182" s="3202" t="s">
        <v>3527</v>
      </c>
      <c r="H182" s="3202" t="s">
        <v>3532</v>
      </c>
      <c r="I182" s="3212">
        <v>85.98</v>
      </c>
      <c r="J182" s="3204">
        <v>1</v>
      </c>
      <c r="P182" s="3208" t="s">
        <v>3543</v>
      </c>
      <c r="Q182" s="3200">
        <v>10</v>
      </c>
      <c r="T182" s="3208" t="s">
        <v>3543</v>
      </c>
      <c r="U182" s="3200">
        <v>10</v>
      </c>
    </row>
    <row r="183" spans="1:21">
      <c r="A183" s="3204">
        <v>182</v>
      </c>
      <c r="B183" s="3204">
        <v>5</v>
      </c>
      <c r="C183" s="3204">
        <v>5</v>
      </c>
      <c r="D183" s="3204">
        <v>2</v>
      </c>
      <c r="E183" s="3213">
        <v>203</v>
      </c>
      <c r="F183" s="3206" t="s">
        <v>3554</v>
      </c>
      <c r="G183" s="3202" t="s">
        <v>3527</v>
      </c>
      <c r="H183" s="3202" t="s">
        <v>3448</v>
      </c>
      <c r="I183" s="3212">
        <v>83.65</v>
      </c>
      <c r="J183" s="3204">
        <v>1</v>
      </c>
      <c r="P183" s="3209">
        <v>62.89</v>
      </c>
      <c r="Q183" s="3200">
        <v>10</v>
      </c>
      <c r="T183" s="3209">
        <v>62.89</v>
      </c>
      <c r="U183" s="3200">
        <v>10</v>
      </c>
    </row>
    <row r="184" spans="1:21">
      <c r="A184" s="3204">
        <v>183</v>
      </c>
      <c r="B184" s="3204">
        <v>5</v>
      </c>
      <c r="C184" s="3204">
        <v>5</v>
      </c>
      <c r="D184" s="3204">
        <v>3</v>
      </c>
      <c r="E184" s="3213">
        <v>301</v>
      </c>
      <c r="F184" s="3206" t="s">
        <v>3568</v>
      </c>
      <c r="G184" s="3202" t="s">
        <v>3527</v>
      </c>
      <c r="H184" s="3202" t="s">
        <v>3448</v>
      </c>
      <c r="I184" s="3212">
        <v>86.37</v>
      </c>
      <c r="J184" s="3204">
        <v>1</v>
      </c>
      <c r="P184" s="3211" t="s">
        <v>3589</v>
      </c>
      <c r="Q184" s="3200">
        <v>10</v>
      </c>
      <c r="T184" s="3211" t="s">
        <v>3589</v>
      </c>
      <c r="U184" s="3200">
        <v>10</v>
      </c>
    </row>
    <row r="185" spans="1:21">
      <c r="A185" s="3204">
        <v>184</v>
      </c>
      <c r="B185" s="3204">
        <v>5</v>
      </c>
      <c r="C185" s="3204">
        <v>5</v>
      </c>
      <c r="D185" s="3204">
        <v>3</v>
      </c>
      <c r="E185" s="3204">
        <v>302</v>
      </c>
      <c r="F185" s="3206" t="s">
        <v>3539</v>
      </c>
      <c r="G185" s="3202" t="s">
        <v>3527</v>
      </c>
      <c r="H185" s="3202" t="s">
        <v>3532</v>
      </c>
      <c r="I185" s="3212">
        <v>85.98</v>
      </c>
      <c r="J185" s="3204">
        <v>1</v>
      </c>
      <c r="P185" s="3208" t="s">
        <v>3547</v>
      </c>
      <c r="Q185" s="3200">
        <v>5</v>
      </c>
      <c r="T185" s="3208" t="s">
        <v>3547</v>
      </c>
      <c r="U185" s="3200">
        <v>5</v>
      </c>
    </row>
    <row r="186" spans="1:21">
      <c r="A186" s="3204">
        <v>185</v>
      </c>
      <c r="B186" s="3204">
        <v>5</v>
      </c>
      <c r="C186" s="3204">
        <v>5</v>
      </c>
      <c r="D186" s="3204">
        <v>3</v>
      </c>
      <c r="E186" s="3204">
        <v>303</v>
      </c>
      <c r="F186" s="3206" t="s">
        <v>3554</v>
      </c>
      <c r="G186" s="3202" t="s">
        <v>3527</v>
      </c>
      <c r="H186" s="3202" t="s">
        <v>3448</v>
      </c>
      <c r="I186" s="3212">
        <v>83.65</v>
      </c>
      <c r="J186" s="3204">
        <v>1</v>
      </c>
      <c r="P186" s="3209">
        <v>55.66</v>
      </c>
      <c r="Q186" s="3200">
        <v>5</v>
      </c>
      <c r="T186" s="3209">
        <v>55.66</v>
      </c>
      <c r="U186" s="3200">
        <v>5</v>
      </c>
    </row>
    <row r="187" spans="1:21">
      <c r="A187" s="3204">
        <v>186</v>
      </c>
      <c r="B187" s="3204">
        <v>5</v>
      </c>
      <c r="C187" s="3204">
        <v>5</v>
      </c>
      <c r="D187" s="3204">
        <v>4</v>
      </c>
      <c r="E187" s="3204">
        <v>401</v>
      </c>
      <c r="F187" s="3206" t="s">
        <v>3568</v>
      </c>
      <c r="G187" s="3202" t="s">
        <v>3527</v>
      </c>
      <c r="H187" s="3202" t="s">
        <v>3448</v>
      </c>
      <c r="I187" s="3212">
        <v>86.37</v>
      </c>
      <c r="J187" s="3204">
        <v>1</v>
      </c>
      <c r="P187" s="3211" t="s">
        <v>3590</v>
      </c>
      <c r="Q187" s="3200">
        <v>5</v>
      </c>
      <c r="T187" s="3211" t="s">
        <v>3590</v>
      </c>
      <c r="U187" s="3200">
        <v>5</v>
      </c>
    </row>
    <row r="188" spans="1:21">
      <c r="A188" s="3204">
        <v>187</v>
      </c>
      <c r="B188" s="3204">
        <v>5</v>
      </c>
      <c r="C188" s="3204">
        <v>5</v>
      </c>
      <c r="D188" s="3204">
        <v>4</v>
      </c>
      <c r="E188" s="3204">
        <v>402</v>
      </c>
      <c r="F188" s="3206" t="s">
        <v>3539</v>
      </c>
      <c r="G188" s="3202" t="s">
        <v>3527</v>
      </c>
      <c r="H188" s="3202" t="s">
        <v>3532</v>
      </c>
      <c r="I188" s="3212">
        <v>85.98</v>
      </c>
      <c r="J188" s="3204">
        <v>1</v>
      </c>
      <c r="P188" s="3208" t="s">
        <v>3532</v>
      </c>
      <c r="Q188" s="3200">
        <v>14</v>
      </c>
      <c r="T188" s="3208" t="s">
        <v>3532</v>
      </c>
      <c r="U188" s="3200">
        <v>14</v>
      </c>
    </row>
    <row r="189" spans="1:21">
      <c r="A189" s="3204">
        <v>188</v>
      </c>
      <c r="B189" s="3204">
        <v>5</v>
      </c>
      <c r="C189" s="3204">
        <v>5</v>
      </c>
      <c r="D189" s="3204">
        <v>4</v>
      </c>
      <c r="E189" s="3204">
        <v>403</v>
      </c>
      <c r="F189" s="3206" t="s">
        <v>3554</v>
      </c>
      <c r="G189" s="3202" t="s">
        <v>3527</v>
      </c>
      <c r="H189" s="3202" t="s">
        <v>3448</v>
      </c>
      <c r="I189" s="3212">
        <v>83.65</v>
      </c>
      <c r="J189" s="3204">
        <v>1</v>
      </c>
      <c r="P189" s="3209">
        <v>64.930000000000007</v>
      </c>
      <c r="Q189" s="3200">
        <v>1</v>
      </c>
      <c r="T189" s="3209">
        <v>64.930000000000007</v>
      </c>
      <c r="U189" s="3200">
        <v>1</v>
      </c>
    </row>
    <row r="190" spans="1:21">
      <c r="A190" s="3204">
        <v>189</v>
      </c>
      <c r="B190" s="3204">
        <v>5</v>
      </c>
      <c r="C190" s="3204">
        <v>5</v>
      </c>
      <c r="D190" s="3204">
        <v>5</v>
      </c>
      <c r="E190" s="3204">
        <v>501</v>
      </c>
      <c r="F190" s="3206" t="s">
        <v>3568</v>
      </c>
      <c r="G190" s="3202" t="s">
        <v>3527</v>
      </c>
      <c r="H190" s="3202" t="s">
        <v>3448</v>
      </c>
      <c r="I190" s="3212">
        <v>86.37</v>
      </c>
      <c r="J190" s="3204">
        <v>1</v>
      </c>
      <c r="P190" s="3211" t="s">
        <v>3591</v>
      </c>
      <c r="Q190" s="3200">
        <v>1</v>
      </c>
      <c r="T190" s="3211" t="s">
        <v>3591</v>
      </c>
      <c r="U190" s="3200">
        <v>1</v>
      </c>
    </row>
    <row r="191" spans="1:21">
      <c r="A191" s="3204">
        <v>190</v>
      </c>
      <c r="B191" s="3204">
        <v>5</v>
      </c>
      <c r="C191" s="3204">
        <v>5</v>
      </c>
      <c r="D191" s="3204">
        <v>5</v>
      </c>
      <c r="E191" s="3204">
        <v>502</v>
      </c>
      <c r="F191" s="3206" t="s">
        <v>3539</v>
      </c>
      <c r="G191" s="3202" t="s">
        <v>3527</v>
      </c>
      <c r="H191" s="3202" t="s">
        <v>3532</v>
      </c>
      <c r="I191" s="3212">
        <v>85.98</v>
      </c>
      <c r="J191" s="3204">
        <v>1</v>
      </c>
      <c r="P191" s="3209">
        <v>68.099999999999994</v>
      </c>
      <c r="Q191" s="3200">
        <v>6</v>
      </c>
      <c r="T191" s="3209">
        <v>68.099999999999994</v>
      </c>
      <c r="U191" s="3200">
        <v>6</v>
      </c>
    </row>
    <row r="192" spans="1:21">
      <c r="A192" s="3204">
        <v>191</v>
      </c>
      <c r="B192" s="3204">
        <v>5</v>
      </c>
      <c r="C192" s="3204">
        <v>5</v>
      </c>
      <c r="D192" s="3204">
        <v>5</v>
      </c>
      <c r="E192" s="3204">
        <v>503</v>
      </c>
      <c r="F192" s="3206" t="s">
        <v>3554</v>
      </c>
      <c r="G192" s="3202" t="s">
        <v>3527</v>
      </c>
      <c r="H192" s="3202" t="s">
        <v>3448</v>
      </c>
      <c r="I192" s="3212">
        <v>83.65</v>
      </c>
      <c r="J192" s="3204">
        <v>1</v>
      </c>
      <c r="P192" s="3211" t="s">
        <v>3594</v>
      </c>
      <c r="Q192" s="3200">
        <v>6</v>
      </c>
      <c r="T192" s="3211" t="s">
        <v>3594</v>
      </c>
      <c r="U192" s="3200">
        <v>6</v>
      </c>
    </row>
    <row r="193" spans="1:21">
      <c r="A193" s="3204">
        <v>192</v>
      </c>
      <c r="B193" s="3204">
        <v>5</v>
      </c>
      <c r="C193" s="3204">
        <v>5</v>
      </c>
      <c r="D193" s="3204">
        <v>6</v>
      </c>
      <c r="E193" s="3204">
        <v>601</v>
      </c>
      <c r="F193" s="3206" t="s">
        <v>3568</v>
      </c>
      <c r="G193" s="3202" t="s">
        <v>3527</v>
      </c>
      <c r="H193" s="3202" t="s">
        <v>3448</v>
      </c>
      <c r="I193" s="3212">
        <v>86.37</v>
      </c>
      <c r="J193" s="3204">
        <v>1</v>
      </c>
      <c r="P193" s="3209">
        <v>69.92</v>
      </c>
      <c r="Q193" s="3200">
        <v>5</v>
      </c>
      <c r="T193" s="3209">
        <v>69.92</v>
      </c>
      <c r="U193" s="3200">
        <v>5</v>
      </c>
    </row>
    <row r="194" spans="1:21">
      <c r="A194" s="3204">
        <v>193</v>
      </c>
      <c r="B194" s="3204">
        <v>5</v>
      </c>
      <c r="C194" s="3204">
        <v>5</v>
      </c>
      <c r="D194" s="3204">
        <v>6</v>
      </c>
      <c r="E194" s="3204">
        <v>602</v>
      </c>
      <c r="F194" s="3206" t="s">
        <v>3539</v>
      </c>
      <c r="G194" s="3202" t="s">
        <v>3527</v>
      </c>
      <c r="H194" s="3202" t="s">
        <v>3532</v>
      </c>
      <c r="I194" s="3212">
        <v>85.98</v>
      </c>
      <c r="J194" s="3204">
        <v>1</v>
      </c>
      <c r="P194" s="3211" t="s">
        <v>3595</v>
      </c>
      <c r="Q194" s="3200">
        <v>5</v>
      </c>
      <c r="T194" s="3211" t="s">
        <v>3595</v>
      </c>
      <c r="U194" s="3200">
        <v>5</v>
      </c>
    </row>
    <row r="195" spans="1:21">
      <c r="A195" s="3204">
        <v>194</v>
      </c>
      <c r="B195" s="3204">
        <v>5</v>
      </c>
      <c r="C195" s="3204">
        <v>5</v>
      </c>
      <c r="D195" s="3204">
        <v>6</v>
      </c>
      <c r="E195" s="3204">
        <v>603</v>
      </c>
      <c r="F195" s="3206" t="s">
        <v>3554</v>
      </c>
      <c r="G195" s="3202" t="s">
        <v>3527</v>
      </c>
      <c r="H195" s="3202" t="s">
        <v>3448</v>
      </c>
      <c r="I195" s="3212">
        <v>83.65</v>
      </c>
      <c r="J195" s="3204">
        <v>1</v>
      </c>
      <c r="P195" s="3209">
        <v>72.83</v>
      </c>
      <c r="Q195" s="3200">
        <v>1</v>
      </c>
      <c r="T195" s="3209">
        <v>72.83</v>
      </c>
      <c r="U195" s="3200">
        <v>1</v>
      </c>
    </row>
    <row r="196" spans="1:21">
      <c r="A196" s="3204">
        <v>195</v>
      </c>
      <c r="B196" s="3204">
        <v>3</v>
      </c>
      <c r="C196" s="3204">
        <v>1</v>
      </c>
      <c r="D196" s="3204">
        <v>1</v>
      </c>
      <c r="E196" s="3204">
        <v>101</v>
      </c>
      <c r="F196" s="3206" t="s">
        <v>3570</v>
      </c>
      <c r="G196" s="3202" t="s">
        <v>3527</v>
      </c>
      <c r="H196" s="3202" t="s">
        <v>3448</v>
      </c>
      <c r="I196" s="3212">
        <v>79.17</v>
      </c>
      <c r="J196" s="3204">
        <v>1</v>
      </c>
      <c r="P196" s="3211" t="s">
        <v>3593</v>
      </c>
      <c r="Q196" s="3200">
        <v>1</v>
      </c>
      <c r="T196" s="3211" t="s">
        <v>3593</v>
      </c>
      <c r="U196" s="3200">
        <v>1</v>
      </c>
    </row>
    <row r="197" spans="1:21">
      <c r="A197" s="3204">
        <v>196</v>
      </c>
      <c r="B197" s="3204">
        <v>3</v>
      </c>
      <c r="C197" s="3204">
        <v>1</v>
      </c>
      <c r="D197" s="3204">
        <v>1</v>
      </c>
      <c r="E197" s="3204">
        <v>102</v>
      </c>
      <c r="F197" s="3206" t="s">
        <v>3591</v>
      </c>
      <c r="G197" s="3202" t="s">
        <v>3585</v>
      </c>
      <c r="H197" s="3202" t="s">
        <v>3532</v>
      </c>
      <c r="I197" s="3212">
        <v>64.930000000000007</v>
      </c>
      <c r="J197" s="3204">
        <v>1</v>
      </c>
      <c r="P197" s="3209">
        <v>73.010000000000005</v>
      </c>
      <c r="Q197" s="3200">
        <v>1</v>
      </c>
      <c r="T197" s="3209">
        <v>73.010000000000005</v>
      </c>
      <c r="U197" s="3200">
        <v>1</v>
      </c>
    </row>
    <row r="198" spans="1:21">
      <c r="A198" s="3204">
        <v>197</v>
      </c>
      <c r="B198" s="3204">
        <v>3</v>
      </c>
      <c r="C198" s="3204">
        <v>1</v>
      </c>
      <c r="D198" s="3204">
        <v>1</v>
      </c>
      <c r="E198" s="3204">
        <v>103</v>
      </c>
      <c r="F198" s="3206" t="s">
        <v>403</v>
      </c>
      <c r="G198" s="3202" t="s">
        <v>3527</v>
      </c>
      <c r="H198" s="3202" t="s">
        <v>3448</v>
      </c>
      <c r="I198" s="3212">
        <v>88.65</v>
      </c>
      <c r="J198" s="3204">
        <v>1</v>
      </c>
      <c r="P198" s="3211" t="s">
        <v>3592</v>
      </c>
      <c r="Q198" s="3200">
        <v>1</v>
      </c>
      <c r="T198" s="3211" t="s">
        <v>3592</v>
      </c>
      <c r="U198" s="3200">
        <v>1</v>
      </c>
    </row>
    <row r="199" spans="1:21">
      <c r="A199" s="3204">
        <v>198</v>
      </c>
      <c r="B199" s="3204">
        <v>3</v>
      </c>
      <c r="C199" s="3204">
        <v>1</v>
      </c>
      <c r="D199" s="3204">
        <v>2</v>
      </c>
      <c r="E199" s="3204">
        <v>201</v>
      </c>
      <c r="F199" s="3206" t="s">
        <v>404</v>
      </c>
      <c r="G199" s="3202" t="s">
        <v>3527</v>
      </c>
      <c r="H199" s="3202" t="s">
        <v>3448</v>
      </c>
      <c r="I199" s="3212">
        <v>85.86</v>
      </c>
      <c r="J199" s="3204">
        <v>1</v>
      </c>
      <c r="P199" s="3208" t="s">
        <v>3448</v>
      </c>
      <c r="Q199" s="3200">
        <v>8</v>
      </c>
      <c r="T199" s="3208" t="s">
        <v>3448</v>
      </c>
      <c r="U199" s="3200">
        <v>8</v>
      </c>
    </row>
    <row r="200" spans="1:21">
      <c r="A200" s="3204">
        <v>199</v>
      </c>
      <c r="B200" s="3204">
        <v>3</v>
      </c>
      <c r="C200" s="3204">
        <v>1</v>
      </c>
      <c r="D200" s="3204">
        <v>2</v>
      </c>
      <c r="E200" s="3204">
        <v>202</v>
      </c>
      <c r="F200" s="3206" t="s">
        <v>409</v>
      </c>
      <c r="G200" s="3202" t="s">
        <v>3527</v>
      </c>
      <c r="H200" s="3202" t="s">
        <v>3532</v>
      </c>
      <c r="I200" s="3212">
        <v>88.25</v>
      </c>
      <c r="J200" s="3204">
        <v>1</v>
      </c>
      <c r="P200" s="3209">
        <v>67.92</v>
      </c>
      <c r="Q200" s="3200">
        <v>4</v>
      </c>
      <c r="T200" s="3209">
        <v>67.92</v>
      </c>
      <c r="U200" s="3200">
        <v>4</v>
      </c>
    </row>
    <row r="201" spans="1:21">
      <c r="A201" s="3204">
        <v>200</v>
      </c>
      <c r="B201" s="3204">
        <v>3</v>
      </c>
      <c r="C201" s="3204">
        <v>1</v>
      </c>
      <c r="D201" s="3204">
        <v>2</v>
      </c>
      <c r="E201" s="3204">
        <v>203</v>
      </c>
      <c r="F201" s="3206" t="s">
        <v>403</v>
      </c>
      <c r="G201" s="3202" t="s">
        <v>3527</v>
      </c>
      <c r="H201" s="3202" t="s">
        <v>3448</v>
      </c>
      <c r="I201" s="3212">
        <v>88.65</v>
      </c>
      <c r="J201" s="3204">
        <v>1</v>
      </c>
      <c r="P201" s="3211" t="s">
        <v>3596</v>
      </c>
      <c r="Q201" s="3200">
        <v>2</v>
      </c>
      <c r="T201" s="3211" t="s">
        <v>3596</v>
      </c>
      <c r="U201" s="3200">
        <v>2</v>
      </c>
    </row>
    <row r="202" spans="1:21">
      <c r="A202" s="3204">
        <v>201</v>
      </c>
      <c r="B202" s="3204">
        <v>3</v>
      </c>
      <c r="C202" s="3204">
        <v>1</v>
      </c>
      <c r="D202" s="3204">
        <v>3</v>
      </c>
      <c r="E202" s="3204">
        <v>301</v>
      </c>
      <c r="F202" s="3206" t="s">
        <v>404</v>
      </c>
      <c r="G202" s="3202" t="s">
        <v>3527</v>
      </c>
      <c r="H202" s="3202" t="s">
        <v>3448</v>
      </c>
      <c r="I202" s="3212">
        <v>85.86</v>
      </c>
      <c r="J202" s="3204">
        <v>1</v>
      </c>
      <c r="P202" s="3211" t="s">
        <v>3597</v>
      </c>
      <c r="Q202" s="3200">
        <v>2</v>
      </c>
      <c r="T202" s="3211" t="s">
        <v>3597</v>
      </c>
      <c r="U202" s="3200">
        <v>2</v>
      </c>
    </row>
    <row r="203" spans="1:21">
      <c r="A203" s="3204">
        <v>202</v>
      </c>
      <c r="B203" s="3204">
        <v>3</v>
      </c>
      <c r="C203" s="3204">
        <v>1</v>
      </c>
      <c r="D203" s="3204">
        <v>3</v>
      </c>
      <c r="E203" s="3204">
        <v>302</v>
      </c>
      <c r="F203" s="3206" t="s">
        <v>409</v>
      </c>
      <c r="G203" s="3202" t="s">
        <v>3527</v>
      </c>
      <c r="H203" s="3202" t="s">
        <v>3532</v>
      </c>
      <c r="I203" s="3212">
        <v>88.25</v>
      </c>
      <c r="J203" s="3204">
        <v>1</v>
      </c>
      <c r="P203" s="3209">
        <v>68.39</v>
      </c>
      <c r="Q203" s="3200">
        <v>3</v>
      </c>
      <c r="T203" s="3209">
        <v>68.39</v>
      </c>
      <c r="U203" s="3200">
        <v>3</v>
      </c>
    </row>
    <row r="204" spans="1:21">
      <c r="A204" s="3204">
        <v>203</v>
      </c>
      <c r="B204" s="3204">
        <v>3</v>
      </c>
      <c r="C204" s="3204">
        <v>1</v>
      </c>
      <c r="D204" s="3204">
        <v>3</v>
      </c>
      <c r="E204" s="3204">
        <v>303</v>
      </c>
      <c r="F204" s="3206" t="s">
        <v>403</v>
      </c>
      <c r="G204" s="3202" t="s">
        <v>3527</v>
      </c>
      <c r="H204" s="3202" t="s">
        <v>3448</v>
      </c>
      <c r="I204" s="3212">
        <v>88.65</v>
      </c>
      <c r="J204" s="3204">
        <v>1</v>
      </c>
      <c r="P204" s="3211" t="s">
        <v>3596</v>
      </c>
      <c r="Q204" s="3200">
        <v>1</v>
      </c>
      <c r="T204" s="3211" t="s">
        <v>3596</v>
      </c>
      <c r="U204" s="3200">
        <v>1</v>
      </c>
    </row>
    <row r="205" spans="1:21">
      <c r="A205" s="3204">
        <v>204</v>
      </c>
      <c r="B205" s="3204">
        <v>3</v>
      </c>
      <c r="C205" s="3204">
        <v>1</v>
      </c>
      <c r="D205" s="3204">
        <v>4</v>
      </c>
      <c r="E205" s="3204">
        <v>401</v>
      </c>
      <c r="F205" s="3206" t="s">
        <v>404</v>
      </c>
      <c r="G205" s="3202" t="s">
        <v>3527</v>
      </c>
      <c r="H205" s="3202" t="s">
        <v>3448</v>
      </c>
      <c r="I205" s="3212">
        <v>85.86</v>
      </c>
      <c r="J205" s="3204">
        <v>1</v>
      </c>
      <c r="P205" s="3211" t="s">
        <v>3597</v>
      </c>
      <c r="Q205" s="3200">
        <v>2</v>
      </c>
      <c r="T205" s="3211" t="s">
        <v>3597</v>
      </c>
      <c r="U205" s="3200">
        <v>2</v>
      </c>
    </row>
    <row r="206" spans="1:21">
      <c r="A206" s="3204">
        <v>205</v>
      </c>
      <c r="B206" s="3204">
        <v>3</v>
      </c>
      <c r="C206" s="3204">
        <v>1</v>
      </c>
      <c r="D206" s="3204">
        <v>4</v>
      </c>
      <c r="E206" s="3204">
        <v>402</v>
      </c>
      <c r="F206" s="3206" t="s">
        <v>409</v>
      </c>
      <c r="G206" s="3202" t="s">
        <v>3527</v>
      </c>
      <c r="H206" s="3202" t="s">
        <v>3532</v>
      </c>
      <c r="I206" s="3212">
        <v>88.25</v>
      </c>
      <c r="J206" s="3204">
        <v>1</v>
      </c>
      <c r="P206" s="3209">
        <v>68.67</v>
      </c>
      <c r="Q206" s="3200">
        <v>1</v>
      </c>
      <c r="T206" s="3209">
        <v>68.67</v>
      </c>
      <c r="U206" s="3200">
        <v>1</v>
      </c>
    </row>
    <row r="207" spans="1:21">
      <c r="A207" s="3204">
        <v>206</v>
      </c>
      <c r="B207" s="3204">
        <v>3</v>
      </c>
      <c r="C207" s="3204">
        <v>1</v>
      </c>
      <c r="D207" s="3204">
        <v>4</v>
      </c>
      <c r="E207" s="3204">
        <v>403</v>
      </c>
      <c r="F207" s="3206" t="s">
        <v>403</v>
      </c>
      <c r="G207" s="3202" t="s">
        <v>3527</v>
      </c>
      <c r="H207" s="3202" t="s">
        <v>3448</v>
      </c>
      <c r="I207" s="3212">
        <v>88.65</v>
      </c>
      <c r="J207" s="3204">
        <v>1</v>
      </c>
      <c r="P207" s="3211" t="s">
        <v>3597</v>
      </c>
      <c r="Q207" s="3200">
        <v>1</v>
      </c>
      <c r="T207" s="3211" t="s">
        <v>3597</v>
      </c>
      <c r="U207" s="3200">
        <v>1</v>
      </c>
    </row>
    <row r="208" spans="1:21">
      <c r="A208" s="3204">
        <v>207</v>
      </c>
      <c r="B208" s="3204">
        <v>3</v>
      </c>
      <c r="C208" s="3204">
        <v>1</v>
      </c>
      <c r="D208" s="3204">
        <v>5</v>
      </c>
      <c r="E208" s="3204">
        <v>501</v>
      </c>
      <c r="F208" s="3206" t="s">
        <v>404</v>
      </c>
      <c r="G208" s="3202" t="s">
        <v>3527</v>
      </c>
      <c r="H208" s="3202" t="s">
        <v>3448</v>
      </c>
      <c r="I208" s="3212">
        <v>85.86</v>
      </c>
      <c r="J208" s="3204">
        <v>1</v>
      </c>
      <c r="P208" s="3208" t="s">
        <v>3578</v>
      </c>
      <c r="Q208" s="3200">
        <v>10</v>
      </c>
      <c r="T208" s="3208" t="s">
        <v>3578</v>
      </c>
      <c r="U208" s="3200">
        <v>10</v>
      </c>
    </row>
    <row r="209" spans="1:21">
      <c r="A209" s="3204">
        <v>208</v>
      </c>
      <c r="B209" s="3204">
        <v>3</v>
      </c>
      <c r="C209" s="3204">
        <v>1</v>
      </c>
      <c r="D209" s="3204">
        <v>5</v>
      </c>
      <c r="E209" s="3204">
        <v>502</v>
      </c>
      <c r="F209" s="3206" t="s">
        <v>409</v>
      </c>
      <c r="G209" s="3202" t="s">
        <v>3527</v>
      </c>
      <c r="H209" s="3202" t="s">
        <v>3532</v>
      </c>
      <c r="I209" s="3212">
        <v>88.25</v>
      </c>
      <c r="J209" s="3204">
        <v>1</v>
      </c>
      <c r="P209" s="3209">
        <v>57.3</v>
      </c>
      <c r="Q209" s="3200">
        <v>5</v>
      </c>
      <c r="T209" s="3209">
        <v>57.3</v>
      </c>
      <c r="U209" s="3200">
        <v>5</v>
      </c>
    </row>
    <row r="210" spans="1:21">
      <c r="A210" s="3204">
        <v>209</v>
      </c>
      <c r="B210" s="3204">
        <v>3</v>
      </c>
      <c r="C210" s="3204">
        <v>1</v>
      </c>
      <c r="D210" s="3204">
        <v>5</v>
      </c>
      <c r="E210" s="3204">
        <v>503</v>
      </c>
      <c r="F210" s="3206" t="s">
        <v>403</v>
      </c>
      <c r="G210" s="3202" t="s">
        <v>3527</v>
      </c>
      <c r="H210" s="3202" t="s">
        <v>3448</v>
      </c>
      <c r="I210" s="3212">
        <v>88.65</v>
      </c>
      <c r="J210" s="3204">
        <v>1</v>
      </c>
      <c r="P210" s="3211" t="s">
        <v>3599</v>
      </c>
      <c r="Q210" s="3200">
        <v>5</v>
      </c>
      <c r="T210" s="3211" t="s">
        <v>3599</v>
      </c>
      <c r="U210" s="3200">
        <v>5</v>
      </c>
    </row>
    <row r="211" spans="1:21">
      <c r="A211" s="3204">
        <v>210</v>
      </c>
      <c r="B211" s="3204">
        <v>3</v>
      </c>
      <c r="C211" s="3204">
        <v>1</v>
      </c>
      <c r="D211" s="3204">
        <v>6</v>
      </c>
      <c r="E211" s="3204">
        <v>601</v>
      </c>
      <c r="F211" s="3206" t="s">
        <v>404</v>
      </c>
      <c r="G211" s="3202" t="s">
        <v>3527</v>
      </c>
      <c r="H211" s="3202" t="s">
        <v>3448</v>
      </c>
      <c r="I211" s="3212">
        <v>85.86</v>
      </c>
      <c r="J211" s="3204">
        <v>1</v>
      </c>
      <c r="P211" s="3209">
        <v>61.66</v>
      </c>
      <c r="Q211" s="3200">
        <v>5</v>
      </c>
      <c r="T211" s="3209">
        <v>61.66</v>
      </c>
      <c r="U211" s="3200">
        <v>5</v>
      </c>
    </row>
    <row r="212" spans="1:21">
      <c r="A212" s="3204">
        <v>211</v>
      </c>
      <c r="B212" s="3204">
        <v>3</v>
      </c>
      <c r="C212" s="3204">
        <v>1</v>
      </c>
      <c r="D212" s="3204">
        <v>6</v>
      </c>
      <c r="E212" s="3204">
        <v>602</v>
      </c>
      <c r="F212" s="3206" t="s">
        <v>409</v>
      </c>
      <c r="G212" s="3202" t="s">
        <v>3527</v>
      </c>
      <c r="H212" s="3202" t="s">
        <v>3532</v>
      </c>
      <c r="I212" s="3212">
        <v>88.25</v>
      </c>
      <c r="J212" s="3204">
        <v>1</v>
      </c>
      <c r="P212" s="3211" t="s">
        <v>3598</v>
      </c>
      <c r="Q212" s="3200">
        <v>5</v>
      </c>
      <c r="T212" s="3211" t="s">
        <v>3598</v>
      </c>
      <c r="U212" s="3200">
        <v>5</v>
      </c>
    </row>
    <row r="213" spans="1:21">
      <c r="A213" s="3204">
        <v>212</v>
      </c>
      <c r="B213" s="3204">
        <v>3</v>
      </c>
      <c r="C213" s="3204">
        <v>1</v>
      </c>
      <c r="D213" s="3204">
        <v>6</v>
      </c>
      <c r="E213" s="3204">
        <v>603</v>
      </c>
      <c r="F213" s="3206" t="s">
        <v>403</v>
      </c>
      <c r="G213" s="3202" t="s">
        <v>3527</v>
      </c>
      <c r="H213" s="3202" t="s">
        <v>3448</v>
      </c>
      <c r="I213" s="3212">
        <v>88.65</v>
      </c>
      <c r="J213" s="3204">
        <v>1</v>
      </c>
      <c r="P213" s="3208" t="s">
        <v>3579</v>
      </c>
      <c r="Q213" s="3200">
        <v>5</v>
      </c>
      <c r="T213" s="3208" t="s">
        <v>3579</v>
      </c>
      <c r="U213" s="3200">
        <v>5</v>
      </c>
    </row>
    <row r="214" spans="1:21">
      <c r="A214" s="3204">
        <v>213</v>
      </c>
      <c r="B214" s="3204">
        <v>3</v>
      </c>
      <c r="C214" s="3204">
        <v>2</v>
      </c>
      <c r="D214" s="3204">
        <v>2</v>
      </c>
      <c r="E214" s="3204">
        <v>201</v>
      </c>
      <c r="F214" s="3206" t="s">
        <v>3552</v>
      </c>
      <c r="G214" s="3202" t="s">
        <v>3527</v>
      </c>
      <c r="H214" s="3202" t="s">
        <v>3448</v>
      </c>
      <c r="I214" s="3212">
        <v>82.48</v>
      </c>
      <c r="J214" s="3204">
        <v>1</v>
      </c>
      <c r="P214" s="3209">
        <v>73.06</v>
      </c>
      <c r="Q214" s="3200">
        <v>5</v>
      </c>
      <c r="T214" s="3209">
        <v>73.06</v>
      </c>
      <c r="U214" s="3200">
        <v>5</v>
      </c>
    </row>
    <row r="215" spans="1:21">
      <c r="A215" s="3204">
        <v>214</v>
      </c>
      <c r="B215" s="3204">
        <v>3</v>
      </c>
      <c r="C215" s="3204">
        <v>2</v>
      </c>
      <c r="D215" s="3204">
        <v>2</v>
      </c>
      <c r="E215" s="3204">
        <v>202</v>
      </c>
      <c r="F215" s="3206" t="s">
        <v>3560</v>
      </c>
      <c r="G215" s="3202" t="s">
        <v>3527</v>
      </c>
      <c r="H215" s="3202" t="s">
        <v>3532</v>
      </c>
      <c r="I215" s="3212">
        <v>88.46</v>
      </c>
      <c r="J215" s="3204">
        <v>1</v>
      </c>
      <c r="P215" s="3211" t="s">
        <v>3600</v>
      </c>
      <c r="Q215" s="3200">
        <v>5</v>
      </c>
      <c r="T215" s="3211" t="s">
        <v>3600</v>
      </c>
      <c r="U215" s="3200">
        <v>5</v>
      </c>
    </row>
    <row r="216" spans="1:21">
      <c r="A216" s="3204">
        <v>215</v>
      </c>
      <c r="B216" s="3204">
        <v>3</v>
      </c>
      <c r="C216" s="3204">
        <v>2</v>
      </c>
      <c r="D216" s="3204">
        <v>2</v>
      </c>
      <c r="E216" s="3204">
        <v>203</v>
      </c>
      <c r="F216" s="3206" t="s">
        <v>3562</v>
      </c>
      <c r="G216" s="3202" t="s">
        <v>3527</v>
      </c>
      <c r="H216" s="3202" t="s">
        <v>3448</v>
      </c>
      <c r="I216" s="3212">
        <v>85.26</v>
      </c>
      <c r="J216" s="3204">
        <v>1</v>
      </c>
      <c r="P216" s="3207" t="s">
        <v>3601</v>
      </c>
      <c r="Q216" s="3200">
        <v>653</v>
      </c>
      <c r="T216" s="3207" t="s">
        <v>3601</v>
      </c>
      <c r="U216" s="3200">
        <v>653</v>
      </c>
    </row>
    <row r="217" spans="1:21">
      <c r="A217" s="3204">
        <v>216</v>
      </c>
      <c r="B217" s="3204">
        <v>3</v>
      </c>
      <c r="C217" s="3204">
        <v>2</v>
      </c>
      <c r="D217" s="3204">
        <v>3</v>
      </c>
      <c r="E217" s="3204">
        <v>301</v>
      </c>
      <c r="F217" s="3206" t="s">
        <v>3552</v>
      </c>
      <c r="G217" s="3202" t="s">
        <v>3527</v>
      </c>
      <c r="H217" s="3202" t="s">
        <v>3448</v>
      </c>
      <c r="I217" s="3212">
        <v>82.48</v>
      </c>
      <c r="J217" s="3204">
        <v>1</v>
      </c>
    </row>
    <row r="218" spans="1:21">
      <c r="A218" s="3204">
        <v>217</v>
      </c>
      <c r="B218" s="3204">
        <v>3</v>
      </c>
      <c r="C218" s="3204">
        <v>2</v>
      </c>
      <c r="D218" s="3204">
        <v>3</v>
      </c>
      <c r="E218" s="3204">
        <v>302</v>
      </c>
      <c r="F218" s="3206" t="s">
        <v>3560</v>
      </c>
      <c r="G218" s="3202" t="s">
        <v>3527</v>
      </c>
      <c r="H218" s="3202" t="s">
        <v>3532</v>
      </c>
      <c r="I218" s="3212">
        <v>88.46</v>
      </c>
      <c r="J218" s="3204">
        <v>1</v>
      </c>
    </row>
    <row r="219" spans="1:21">
      <c r="A219" s="3204">
        <v>218</v>
      </c>
      <c r="B219" s="3204">
        <v>3</v>
      </c>
      <c r="C219" s="3204">
        <v>2</v>
      </c>
      <c r="D219" s="3204">
        <v>3</v>
      </c>
      <c r="E219" s="3204">
        <v>303</v>
      </c>
      <c r="F219" s="3206" t="s">
        <v>3562</v>
      </c>
      <c r="G219" s="3202" t="s">
        <v>3527</v>
      </c>
      <c r="H219" s="3202" t="s">
        <v>3448</v>
      </c>
      <c r="I219" s="3212">
        <v>85.26</v>
      </c>
      <c r="J219" s="3204">
        <v>1</v>
      </c>
    </row>
    <row r="220" spans="1:21">
      <c r="A220" s="3204">
        <v>219</v>
      </c>
      <c r="B220" s="3204">
        <v>3</v>
      </c>
      <c r="C220" s="3204">
        <v>2</v>
      </c>
      <c r="D220" s="3204">
        <v>4</v>
      </c>
      <c r="E220" s="3204">
        <v>401</v>
      </c>
      <c r="F220" s="3206" t="s">
        <v>3552</v>
      </c>
      <c r="G220" s="3202" t="s">
        <v>3527</v>
      </c>
      <c r="H220" s="3202" t="s">
        <v>3448</v>
      </c>
      <c r="I220" s="3212">
        <v>82.48</v>
      </c>
      <c r="J220" s="3204">
        <v>1</v>
      </c>
    </row>
    <row r="221" spans="1:21">
      <c r="A221" s="3204">
        <v>220</v>
      </c>
      <c r="B221" s="3204">
        <v>3</v>
      </c>
      <c r="C221" s="3204">
        <v>2</v>
      </c>
      <c r="D221" s="3204">
        <v>4</v>
      </c>
      <c r="E221" s="3204">
        <v>402</v>
      </c>
      <c r="F221" s="3206" t="s">
        <v>3560</v>
      </c>
      <c r="G221" s="3202" t="s">
        <v>3527</v>
      </c>
      <c r="H221" s="3202" t="s">
        <v>3532</v>
      </c>
      <c r="I221" s="3212">
        <v>88.46</v>
      </c>
      <c r="J221" s="3204">
        <v>1</v>
      </c>
    </row>
    <row r="222" spans="1:21">
      <c r="A222" s="3204">
        <v>221</v>
      </c>
      <c r="B222" s="3204">
        <v>3</v>
      </c>
      <c r="C222" s="3204">
        <v>2</v>
      </c>
      <c r="D222" s="3204">
        <v>4</v>
      </c>
      <c r="E222" s="3204">
        <v>403</v>
      </c>
      <c r="F222" s="3206" t="s">
        <v>3562</v>
      </c>
      <c r="G222" s="3202" t="s">
        <v>3527</v>
      </c>
      <c r="H222" s="3202" t="s">
        <v>3448</v>
      </c>
      <c r="I222" s="3212">
        <v>85.26</v>
      </c>
      <c r="J222" s="3204">
        <v>1</v>
      </c>
    </row>
    <row r="223" spans="1:21">
      <c r="A223" s="3204">
        <v>222</v>
      </c>
      <c r="B223" s="3204">
        <v>3</v>
      </c>
      <c r="C223" s="3204">
        <v>2</v>
      </c>
      <c r="D223" s="3204">
        <v>5</v>
      </c>
      <c r="E223" s="3204">
        <v>501</v>
      </c>
      <c r="F223" s="3206" t="s">
        <v>3552</v>
      </c>
      <c r="G223" s="3202" t="s">
        <v>3527</v>
      </c>
      <c r="H223" s="3202" t="s">
        <v>3448</v>
      </c>
      <c r="I223" s="3212">
        <v>82.48</v>
      </c>
      <c r="J223" s="3204">
        <v>1</v>
      </c>
    </row>
    <row r="224" spans="1:21">
      <c r="A224" s="3204">
        <v>223</v>
      </c>
      <c r="B224" s="3204">
        <v>3</v>
      </c>
      <c r="C224" s="3204">
        <v>2</v>
      </c>
      <c r="D224" s="3204">
        <v>5</v>
      </c>
      <c r="E224" s="3204">
        <v>502</v>
      </c>
      <c r="F224" s="3206" t="s">
        <v>3560</v>
      </c>
      <c r="G224" s="3202" t="s">
        <v>3527</v>
      </c>
      <c r="H224" s="3202" t="s">
        <v>3532</v>
      </c>
      <c r="I224" s="3212">
        <v>88.46</v>
      </c>
      <c r="J224" s="3204">
        <v>1</v>
      </c>
    </row>
    <row r="225" spans="1:10">
      <c r="A225" s="3204">
        <v>224</v>
      </c>
      <c r="B225" s="3204">
        <v>3</v>
      </c>
      <c r="C225" s="3204">
        <v>2</v>
      </c>
      <c r="D225" s="3204">
        <v>5</v>
      </c>
      <c r="E225" s="3204">
        <v>503</v>
      </c>
      <c r="F225" s="3206" t="s">
        <v>3562</v>
      </c>
      <c r="G225" s="3202" t="s">
        <v>3527</v>
      </c>
      <c r="H225" s="3202" t="s">
        <v>3448</v>
      </c>
      <c r="I225" s="3212">
        <v>85.26</v>
      </c>
      <c r="J225" s="3204">
        <v>1</v>
      </c>
    </row>
    <row r="226" spans="1:10">
      <c r="A226" s="3204">
        <v>225</v>
      </c>
      <c r="B226" s="3204">
        <v>3</v>
      </c>
      <c r="C226" s="3204">
        <v>2</v>
      </c>
      <c r="D226" s="3204">
        <v>6</v>
      </c>
      <c r="E226" s="3204">
        <v>601</v>
      </c>
      <c r="F226" s="3206" t="s">
        <v>3552</v>
      </c>
      <c r="G226" s="3202" t="s">
        <v>3527</v>
      </c>
      <c r="H226" s="3202" t="s">
        <v>3448</v>
      </c>
      <c r="I226" s="3212">
        <v>82.48</v>
      </c>
      <c r="J226" s="3204">
        <v>1</v>
      </c>
    </row>
    <row r="227" spans="1:10">
      <c r="A227" s="3204">
        <v>226</v>
      </c>
      <c r="B227" s="3204">
        <v>3</v>
      </c>
      <c r="C227" s="3204">
        <v>2</v>
      </c>
      <c r="D227" s="3204">
        <v>6</v>
      </c>
      <c r="E227" s="3204">
        <v>602</v>
      </c>
      <c r="F227" s="3206" t="s">
        <v>3560</v>
      </c>
      <c r="G227" s="3202" t="s">
        <v>3527</v>
      </c>
      <c r="H227" s="3202" t="s">
        <v>3532</v>
      </c>
      <c r="I227" s="3212">
        <v>88.46</v>
      </c>
      <c r="J227" s="3204">
        <v>1</v>
      </c>
    </row>
    <row r="228" spans="1:10">
      <c r="A228" s="3204">
        <v>227</v>
      </c>
      <c r="B228" s="3204">
        <v>3</v>
      </c>
      <c r="C228" s="3204">
        <v>2</v>
      </c>
      <c r="D228" s="3204">
        <v>6</v>
      </c>
      <c r="E228" s="3204">
        <v>603</v>
      </c>
      <c r="F228" s="3206" t="s">
        <v>3562</v>
      </c>
      <c r="G228" s="3202" t="s">
        <v>3527</v>
      </c>
      <c r="H228" s="3202" t="s">
        <v>3448</v>
      </c>
      <c r="I228" s="3212">
        <v>85.26</v>
      </c>
      <c r="J228" s="3204">
        <v>1</v>
      </c>
    </row>
    <row r="229" spans="1:10">
      <c r="A229" s="3204">
        <v>228</v>
      </c>
      <c r="B229" s="3204">
        <v>3</v>
      </c>
      <c r="C229" s="3204">
        <v>3</v>
      </c>
      <c r="D229" s="3204">
        <v>2</v>
      </c>
      <c r="E229" s="3204">
        <v>201</v>
      </c>
      <c r="F229" s="3206" t="s">
        <v>3526</v>
      </c>
      <c r="G229" s="3202" t="s">
        <v>3527</v>
      </c>
      <c r="H229" s="3202" t="s">
        <v>3448</v>
      </c>
      <c r="I229" s="3212">
        <v>85.26</v>
      </c>
      <c r="J229" s="3204">
        <v>1</v>
      </c>
    </row>
    <row r="230" spans="1:10">
      <c r="A230" s="3204">
        <v>229</v>
      </c>
      <c r="B230" s="3204">
        <v>3</v>
      </c>
      <c r="C230" s="3204">
        <v>3</v>
      </c>
      <c r="D230" s="3204">
        <v>2</v>
      </c>
      <c r="E230" s="3204">
        <v>202</v>
      </c>
      <c r="F230" s="3206" t="s">
        <v>3531</v>
      </c>
      <c r="G230" s="3202" t="s">
        <v>3527</v>
      </c>
      <c r="H230" s="3202" t="s">
        <v>3532</v>
      </c>
      <c r="I230" s="3212">
        <v>88.46</v>
      </c>
      <c r="J230" s="3204">
        <v>1</v>
      </c>
    </row>
    <row r="231" spans="1:10">
      <c r="A231" s="3204">
        <v>230</v>
      </c>
      <c r="B231" s="3204">
        <v>3</v>
      </c>
      <c r="C231" s="3204">
        <v>3</v>
      </c>
      <c r="D231" s="3204">
        <v>2</v>
      </c>
      <c r="E231" s="3204">
        <v>203</v>
      </c>
      <c r="F231" s="3206" t="s">
        <v>3534</v>
      </c>
      <c r="G231" s="3202" t="s">
        <v>3527</v>
      </c>
      <c r="H231" s="3202" t="s">
        <v>3448</v>
      </c>
      <c r="I231" s="3212">
        <v>82.48</v>
      </c>
      <c r="J231" s="3204">
        <v>1</v>
      </c>
    </row>
    <row r="232" spans="1:10">
      <c r="A232" s="3204">
        <v>231</v>
      </c>
      <c r="B232" s="3204">
        <v>3</v>
      </c>
      <c r="C232" s="3204">
        <v>3</v>
      </c>
      <c r="D232" s="3204">
        <v>3</v>
      </c>
      <c r="E232" s="3204">
        <v>301</v>
      </c>
      <c r="F232" s="3206" t="s">
        <v>3526</v>
      </c>
      <c r="G232" s="3202" t="s">
        <v>3527</v>
      </c>
      <c r="H232" s="3202" t="s">
        <v>3448</v>
      </c>
      <c r="I232" s="3212">
        <v>85.26</v>
      </c>
      <c r="J232" s="3204">
        <v>1</v>
      </c>
    </row>
    <row r="233" spans="1:10">
      <c r="A233" s="3204">
        <v>232</v>
      </c>
      <c r="B233" s="3204">
        <v>3</v>
      </c>
      <c r="C233" s="3204">
        <v>3</v>
      </c>
      <c r="D233" s="3204">
        <v>3</v>
      </c>
      <c r="E233" s="3204">
        <v>302</v>
      </c>
      <c r="F233" s="3206" t="s">
        <v>3531</v>
      </c>
      <c r="G233" s="3202" t="s">
        <v>3527</v>
      </c>
      <c r="H233" s="3202" t="s">
        <v>3532</v>
      </c>
      <c r="I233" s="3212">
        <v>88.46</v>
      </c>
      <c r="J233" s="3204">
        <v>1</v>
      </c>
    </row>
    <row r="234" spans="1:10">
      <c r="A234" s="3204">
        <v>233</v>
      </c>
      <c r="B234" s="3204">
        <v>3</v>
      </c>
      <c r="C234" s="3204">
        <v>3</v>
      </c>
      <c r="D234" s="3204">
        <v>3</v>
      </c>
      <c r="E234" s="3204">
        <v>303</v>
      </c>
      <c r="F234" s="3206" t="s">
        <v>3534</v>
      </c>
      <c r="G234" s="3202" t="s">
        <v>3527</v>
      </c>
      <c r="H234" s="3202" t="s">
        <v>3448</v>
      </c>
      <c r="I234" s="3212">
        <v>82.48</v>
      </c>
      <c r="J234" s="3204">
        <v>1</v>
      </c>
    </row>
    <row r="235" spans="1:10">
      <c r="A235" s="3204">
        <v>234</v>
      </c>
      <c r="B235" s="3204">
        <v>3</v>
      </c>
      <c r="C235" s="3204">
        <v>3</v>
      </c>
      <c r="D235" s="3204">
        <v>4</v>
      </c>
      <c r="E235" s="3204">
        <v>401</v>
      </c>
      <c r="F235" s="3206" t="s">
        <v>3526</v>
      </c>
      <c r="G235" s="3202" t="s">
        <v>3527</v>
      </c>
      <c r="H235" s="3202" t="s">
        <v>3448</v>
      </c>
      <c r="I235" s="3212">
        <v>85.26</v>
      </c>
      <c r="J235" s="3204">
        <v>1</v>
      </c>
    </row>
    <row r="236" spans="1:10">
      <c r="A236" s="3204">
        <v>235</v>
      </c>
      <c r="B236" s="3204">
        <v>3</v>
      </c>
      <c r="C236" s="3204">
        <v>3</v>
      </c>
      <c r="D236" s="3204">
        <v>4</v>
      </c>
      <c r="E236" s="3204">
        <v>402</v>
      </c>
      <c r="F236" s="3206" t="s">
        <v>3531</v>
      </c>
      <c r="G236" s="3202" t="s">
        <v>3527</v>
      </c>
      <c r="H236" s="3202" t="s">
        <v>3532</v>
      </c>
      <c r="I236" s="3212">
        <v>88.46</v>
      </c>
      <c r="J236" s="3204">
        <v>1</v>
      </c>
    </row>
    <row r="237" spans="1:10">
      <c r="A237" s="3204">
        <v>236</v>
      </c>
      <c r="B237" s="3204">
        <v>3</v>
      </c>
      <c r="C237" s="3204">
        <v>3</v>
      </c>
      <c r="D237" s="3204">
        <v>4</v>
      </c>
      <c r="E237" s="3204">
        <v>403</v>
      </c>
      <c r="F237" s="3206" t="s">
        <v>3534</v>
      </c>
      <c r="G237" s="3202" t="s">
        <v>3527</v>
      </c>
      <c r="H237" s="3202" t="s">
        <v>3448</v>
      </c>
      <c r="I237" s="3212">
        <v>82.48</v>
      </c>
      <c r="J237" s="3204">
        <v>1</v>
      </c>
    </row>
    <row r="238" spans="1:10">
      <c r="A238" s="3204">
        <v>237</v>
      </c>
      <c r="B238" s="3204">
        <v>3</v>
      </c>
      <c r="C238" s="3204">
        <v>3</v>
      </c>
      <c r="D238" s="3204">
        <v>5</v>
      </c>
      <c r="E238" s="3204">
        <v>501</v>
      </c>
      <c r="F238" s="3206" t="s">
        <v>3526</v>
      </c>
      <c r="G238" s="3202" t="s">
        <v>3527</v>
      </c>
      <c r="H238" s="3202" t="s">
        <v>3448</v>
      </c>
      <c r="I238" s="3212">
        <v>85.26</v>
      </c>
      <c r="J238" s="3204">
        <v>1</v>
      </c>
    </row>
    <row r="239" spans="1:10">
      <c r="A239" s="3204">
        <v>238</v>
      </c>
      <c r="B239" s="3204">
        <v>3</v>
      </c>
      <c r="C239" s="3204">
        <v>3</v>
      </c>
      <c r="D239" s="3204">
        <v>5</v>
      </c>
      <c r="E239" s="3204">
        <v>502</v>
      </c>
      <c r="F239" s="3206" t="s">
        <v>3531</v>
      </c>
      <c r="G239" s="3202" t="s">
        <v>3527</v>
      </c>
      <c r="H239" s="3202" t="s">
        <v>3532</v>
      </c>
      <c r="I239" s="3212">
        <v>88.46</v>
      </c>
      <c r="J239" s="3204">
        <v>1</v>
      </c>
    </row>
    <row r="240" spans="1:10">
      <c r="A240" s="3204">
        <v>239</v>
      </c>
      <c r="B240" s="3204">
        <v>3</v>
      </c>
      <c r="C240" s="3204">
        <v>3</v>
      </c>
      <c r="D240" s="3204">
        <v>5</v>
      </c>
      <c r="E240" s="3204">
        <v>503</v>
      </c>
      <c r="F240" s="3206" t="s">
        <v>3534</v>
      </c>
      <c r="G240" s="3202" t="s">
        <v>3527</v>
      </c>
      <c r="H240" s="3202" t="s">
        <v>3448</v>
      </c>
      <c r="I240" s="3212">
        <v>82.48</v>
      </c>
      <c r="J240" s="3204">
        <v>1</v>
      </c>
    </row>
    <row r="241" spans="1:10">
      <c r="A241" s="3204">
        <v>240</v>
      </c>
      <c r="B241" s="3204">
        <v>3</v>
      </c>
      <c r="C241" s="3204">
        <v>3</v>
      </c>
      <c r="D241" s="3204">
        <v>6</v>
      </c>
      <c r="E241" s="3204">
        <v>601</v>
      </c>
      <c r="F241" s="3206" t="s">
        <v>3526</v>
      </c>
      <c r="G241" s="3202" t="s">
        <v>3527</v>
      </c>
      <c r="H241" s="3202" t="s">
        <v>3448</v>
      </c>
      <c r="I241" s="3212">
        <v>85.26</v>
      </c>
      <c r="J241" s="3204">
        <v>1</v>
      </c>
    </row>
    <row r="242" spans="1:10">
      <c r="A242" s="3204">
        <v>241</v>
      </c>
      <c r="B242" s="3204">
        <v>3</v>
      </c>
      <c r="C242" s="3204">
        <v>3</v>
      </c>
      <c r="D242" s="3204">
        <v>6</v>
      </c>
      <c r="E242" s="3204">
        <v>602</v>
      </c>
      <c r="F242" s="3206" t="s">
        <v>3531</v>
      </c>
      <c r="G242" s="3202" t="s">
        <v>3527</v>
      </c>
      <c r="H242" s="3202" t="s">
        <v>3532</v>
      </c>
      <c r="I242" s="3212">
        <v>88.46</v>
      </c>
      <c r="J242" s="3204">
        <v>1</v>
      </c>
    </row>
    <row r="243" spans="1:10">
      <c r="A243" s="3204">
        <v>242</v>
      </c>
      <c r="B243" s="3204">
        <v>3</v>
      </c>
      <c r="C243" s="3204">
        <v>3</v>
      </c>
      <c r="D243" s="3204">
        <v>6</v>
      </c>
      <c r="E243" s="3204">
        <v>603</v>
      </c>
      <c r="F243" s="3206" t="s">
        <v>3534</v>
      </c>
      <c r="G243" s="3202" t="s">
        <v>3527</v>
      </c>
      <c r="H243" s="3202" t="s">
        <v>3448</v>
      </c>
      <c r="I243" s="3212">
        <v>82.48</v>
      </c>
      <c r="J243" s="3204">
        <v>1</v>
      </c>
    </row>
    <row r="244" spans="1:10">
      <c r="A244" s="3204">
        <v>243</v>
      </c>
      <c r="B244" s="3204">
        <v>3</v>
      </c>
      <c r="C244" s="3204">
        <v>4</v>
      </c>
      <c r="D244" s="3204">
        <v>2</v>
      </c>
      <c r="E244" s="3204">
        <v>201</v>
      </c>
      <c r="F244" s="3206" t="s">
        <v>3552</v>
      </c>
      <c r="G244" s="3202" t="s">
        <v>3527</v>
      </c>
      <c r="H244" s="3202" t="s">
        <v>3448</v>
      </c>
      <c r="I244" s="3212">
        <v>82.48</v>
      </c>
      <c r="J244" s="3204">
        <v>1</v>
      </c>
    </row>
    <row r="245" spans="1:10">
      <c r="A245" s="3204">
        <v>244</v>
      </c>
      <c r="B245" s="3204">
        <v>3</v>
      </c>
      <c r="C245" s="3204">
        <v>4</v>
      </c>
      <c r="D245" s="3204">
        <v>2</v>
      </c>
      <c r="E245" s="3204">
        <v>202</v>
      </c>
      <c r="F245" s="3206" t="s">
        <v>3560</v>
      </c>
      <c r="G245" s="3202" t="s">
        <v>3527</v>
      </c>
      <c r="H245" s="3202" t="s">
        <v>3532</v>
      </c>
      <c r="I245" s="3212">
        <v>88.46</v>
      </c>
      <c r="J245" s="3204">
        <v>1</v>
      </c>
    </row>
    <row r="246" spans="1:10">
      <c r="A246" s="3204">
        <v>245</v>
      </c>
      <c r="B246" s="3204">
        <v>3</v>
      </c>
      <c r="C246" s="3204">
        <v>4</v>
      </c>
      <c r="D246" s="3204">
        <v>2</v>
      </c>
      <c r="E246" s="3204">
        <v>203</v>
      </c>
      <c r="F246" s="3206" t="s">
        <v>3562</v>
      </c>
      <c r="G246" s="3202" t="s">
        <v>3527</v>
      </c>
      <c r="H246" s="3202" t="s">
        <v>3448</v>
      </c>
      <c r="I246" s="3212">
        <v>85.26</v>
      </c>
      <c r="J246" s="3204">
        <v>1</v>
      </c>
    </row>
    <row r="247" spans="1:10">
      <c r="A247" s="3204">
        <v>246</v>
      </c>
      <c r="B247" s="3204">
        <v>3</v>
      </c>
      <c r="C247" s="3204">
        <v>4</v>
      </c>
      <c r="D247" s="3204">
        <v>3</v>
      </c>
      <c r="E247" s="3204">
        <v>301</v>
      </c>
      <c r="F247" s="3206" t="s">
        <v>3552</v>
      </c>
      <c r="G247" s="3202" t="s">
        <v>3527</v>
      </c>
      <c r="H247" s="3202" t="s">
        <v>3448</v>
      </c>
      <c r="I247" s="3212">
        <v>82.48</v>
      </c>
      <c r="J247" s="3204">
        <v>1</v>
      </c>
    </row>
    <row r="248" spans="1:10">
      <c r="A248" s="3204">
        <v>247</v>
      </c>
      <c r="B248" s="3204">
        <v>3</v>
      </c>
      <c r="C248" s="3204">
        <v>4</v>
      </c>
      <c r="D248" s="3204">
        <v>3</v>
      </c>
      <c r="E248" s="3204">
        <v>302</v>
      </c>
      <c r="F248" s="3206" t="s">
        <v>3560</v>
      </c>
      <c r="G248" s="3202" t="s">
        <v>3527</v>
      </c>
      <c r="H248" s="3202" t="s">
        <v>3532</v>
      </c>
      <c r="I248" s="3212">
        <v>88.46</v>
      </c>
      <c r="J248" s="3204">
        <v>1</v>
      </c>
    </row>
    <row r="249" spans="1:10">
      <c r="A249" s="3204">
        <v>248</v>
      </c>
      <c r="B249" s="3204">
        <v>3</v>
      </c>
      <c r="C249" s="3204">
        <v>4</v>
      </c>
      <c r="D249" s="3204">
        <v>3</v>
      </c>
      <c r="E249" s="3204">
        <v>303</v>
      </c>
      <c r="F249" s="3206" t="s">
        <v>3562</v>
      </c>
      <c r="G249" s="3202" t="s">
        <v>3527</v>
      </c>
      <c r="H249" s="3202" t="s">
        <v>3448</v>
      </c>
      <c r="I249" s="3212">
        <v>85.26</v>
      </c>
      <c r="J249" s="3204">
        <v>1</v>
      </c>
    </row>
    <row r="250" spans="1:10">
      <c r="A250" s="3204">
        <v>249</v>
      </c>
      <c r="B250" s="3204">
        <v>3</v>
      </c>
      <c r="C250" s="3204">
        <v>4</v>
      </c>
      <c r="D250" s="3204">
        <v>4</v>
      </c>
      <c r="E250" s="3204">
        <v>401</v>
      </c>
      <c r="F250" s="3206" t="s">
        <v>3552</v>
      </c>
      <c r="G250" s="3202" t="s">
        <v>3527</v>
      </c>
      <c r="H250" s="3202" t="s">
        <v>3448</v>
      </c>
      <c r="I250" s="3212">
        <v>82.48</v>
      </c>
      <c r="J250" s="3204">
        <v>1</v>
      </c>
    </row>
    <row r="251" spans="1:10">
      <c r="A251" s="3204">
        <v>250</v>
      </c>
      <c r="B251" s="3204">
        <v>3</v>
      </c>
      <c r="C251" s="3204">
        <v>4</v>
      </c>
      <c r="D251" s="3204">
        <v>4</v>
      </c>
      <c r="E251" s="3204">
        <v>402</v>
      </c>
      <c r="F251" s="3206" t="s">
        <v>3560</v>
      </c>
      <c r="G251" s="3202" t="s">
        <v>3527</v>
      </c>
      <c r="H251" s="3202" t="s">
        <v>3532</v>
      </c>
      <c r="I251" s="3212">
        <v>88.46</v>
      </c>
      <c r="J251" s="3204">
        <v>1</v>
      </c>
    </row>
    <row r="252" spans="1:10">
      <c r="A252" s="3204">
        <v>251</v>
      </c>
      <c r="B252" s="3204">
        <v>3</v>
      </c>
      <c r="C252" s="3204">
        <v>4</v>
      </c>
      <c r="D252" s="3204">
        <v>4</v>
      </c>
      <c r="E252" s="3204">
        <v>403</v>
      </c>
      <c r="F252" s="3206" t="s">
        <v>3562</v>
      </c>
      <c r="G252" s="3202" t="s">
        <v>3527</v>
      </c>
      <c r="H252" s="3202" t="s">
        <v>3448</v>
      </c>
      <c r="I252" s="3212">
        <v>85.26</v>
      </c>
      <c r="J252" s="3204">
        <v>1</v>
      </c>
    </row>
    <row r="253" spans="1:10">
      <c r="A253" s="3204">
        <v>252</v>
      </c>
      <c r="B253" s="3204">
        <v>3</v>
      </c>
      <c r="C253" s="3204">
        <v>4</v>
      </c>
      <c r="D253" s="3204">
        <v>5</v>
      </c>
      <c r="E253" s="3204">
        <v>501</v>
      </c>
      <c r="F253" s="3206" t="s">
        <v>3552</v>
      </c>
      <c r="G253" s="3202" t="s">
        <v>3527</v>
      </c>
      <c r="H253" s="3202" t="s">
        <v>3448</v>
      </c>
      <c r="I253" s="3212">
        <v>82.48</v>
      </c>
      <c r="J253" s="3204">
        <v>1</v>
      </c>
    </row>
    <row r="254" spans="1:10">
      <c r="A254" s="3204">
        <v>253</v>
      </c>
      <c r="B254" s="3204">
        <v>3</v>
      </c>
      <c r="C254" s="3204">
        <v>4</v>
      </c>
      <c r="D254" s="3204">
        <v>5</v>
      </c>
      <c r="E254" s="3204">
        <v>502</v>
      </c>
      <c r="F254" s="3206" t="s">
        <v>3560</v>
      </c>
      <c r="G254" s="3202" t="s">
        <v>3527</v>
      </c>
      <c r="H254" s="3202" t="s">
        <v>3532</v>
      </c>
      <c r="I254" s="3212">
        <v>88.46</v>
      </c>
      <c r="J254" s="3204">
        <v>1</v>
      </c>
    </row>
    <row r="255" spans="1:10">
      <c r="A255" s="3204">
        <v>254</v>
      </c>
      <c r="B255" s="3204">
        <v>3</v>
      </c>
      <c r="C255" s="3204">
        <v>4</v>
      </c>
      <c r="D255" s="3204">
        <v>5</v>
      </c>
      <c r="E255" s="3204">
        <v>503</v>
      </c>
      <c r="F255" s="3206" t="s">
        <v>3562</v>
      </c>
      <c r="G255" s="3202" t="s">
        <v>3527</v>
      </c>
      <c r="H255" s="3202" t="s">
        <v>3448</v>
      </c>
      <c r="I255" s="3212">
        <v>85.26</v>
      </c>
      <c r="J255" s="3204">
        <v>1</v>
      </c>
    </row>
    <row r="256" spans="1:10">
      <c r="A256" s="3204">
        <v>255</v>
      </c>
      <c r="B256" s="3204">
        <v>3</v>
      </c>
      <c r="C256" s="3204">
        <v>4</v>
      </c>
      <c r="D256" s="3204">
        <v>6</v>
      </c>
      <c r="E256" s="3204">
        <v>601</v>
      </c>
      <c r="F256" s="3206" t="s">
        <v>3552</v>
      </c>
      <c r="G256" s="3202" t="s">
        <v>3527</v>
      </c>
      <c r="H256" s="3202" t="s">
        <v>3448</v>
      </c>
      <c r="I256" s="3212">
        <v>82.48</v>
      </c>
      <c r="J256" s="3204">
        <v>1</v>
      </c>
    </row>
    <row r="257" spans="1:10">
      <c r="A257" s="3204">
        <v>256</v>
      </c>
      <c r="B257" s="3204">
        <v>3</v>
      </c>
      <c r="C257" s="3204">
        <v>4</v>
      </c>
      <c r="D257" s="3204">
        <v>6</v>
      </c>
      <c r="E257" s="3204">
        <v>602</v>
      </c>
      <c r="F257" s="3206" t="s">
        <v>3560</v>
      </c>
      <c r="G257" s="3202" t="s">
        <v>3527</v>
      </c>
      <c r="H257" s="3202" t="s">
        <v>3532</v>
      </c>
      <c r="I257" s="3212">
        <v>88.46</v>
      </c>
      <c r="J257" s="3204">
        <v>1</v>
      </c>
    </row>
    <row r="258" spans="1:10">
      <c r="A258" s="3204">
        <v>257</v>
      </c>
      <c r="B258" s="3204">
        <v>3</v>
      </c>
      <c r="C258" s="3204">
        <v>4</v>
      </c>
      <c r="D258" s="3204">
        <v>6</v>
      </c>
      <c r="E258" s="3204">
        <v>603</v>
      </c>
      <c r="F258" s="3206" t="s">
        <v>3562</v>
      </c>
      <c r="G258" s="3202" t="s">
        <v>3527</v>
      </c>
      <c r="H258" s="3202" t="s">
        <v>3448</v>
      </c>
      <c r="I258" s="3212">
        <v>85.26</v>
      </c>
      <c r="J258" s="3204">
        <v>1</v>
      </c>
    </row>
    <row r="259" spans="1:10">
      <c r="A259" s="3204">
        <v>258</v>
      </c>
      <c r="B259" s="3204">
        <v>3</v>
      </c>
      <c r="C259" s="3204">
        <v>5</v>
      </c>
      <c r="D259" s="3204">
        <v>2</v>
      </c>
      <c r="E259" s="3204">
        <v>201</v>
      </c>
      <c r="F259" s="3206" t="s">
        <v>3526</v>
      </c>
      <c r="G259" s="3202" t="s">
        <v>3527</v>
      </c>
      <c r="H259" s="3202" t="s">
        <v>3448</v>
      </c>
      <c r="I259" s="3212">
        <v>85.26</v>
      </c>
      <c r="J259" s="3204">
        <v>1</v>
      </c>
    </row>
    <row r="260" spans="1:10">
      <c r="A260" s="3204">
        <v>259</v>
      </c>
      <c r="B260" s="3204">
        <v>3</v>
      </c>
      <c r="C260" s="3204">
        <v>5</v>
      </c>
      <c r="D260" s="3204">
        <v>2</v>
      </c>
      <c r="E260" s="3204">
        <v>202</v>
      </c>
      <c r="F260" s="3206" t="s">
        <v>3531</v>
      </c>
      <c r="G260" s="3202" t="s">
        <v>3527</v>
      </c>
      <c r="H260" s="3202" t="s">
        <v>3532</v>
      </c>
      <c r="I260" s="3212">
        <v>88.46</v>
      </c>
      <c r="J260" s="3204">
        <v>1</v>
      </c>
    </row>
    <row r="261" spans="1:10">
      <c r="A261" s="3204">
        <v>260</v>
      </c>
      <c r="B261" s="3204">
        <v>3</v>
      </c>
      <c r="C261" s="3204">
        <v>5</v>
      </c>
      <c r="D261" s="3204">
        <v>2</v>
      </c>
      <c r="E261" s="3204">
        <v>203</v>
      </c>
      <c r="F261" s="3206" t="s">
        <v>3534</v>
      </c>
      <c r="G261" s="3202" t="s">
        <v>3527</v>
      </c>
      <c r="H261" s="3202" t="s">
        <v>3448</v>
      </c>
      <c r="I261" s="3212">
        <v>82.48</v>
      </c>
      <c r="J261" s="3204">
        <v>1</v>
      </c>
    </row>
    <row r="262" spans="1:10">
      <c r="A262" s="3204">
        <v>261</v>
      </c>
      <c r="B262" s="3204">
        <v>3</v>
      </c>
      <c r="C262" s="3204">
        <v>5</v>
      </c>
      <c r="D262" s="3204">
        <v>3</v>
      </c>
      <c r="E262" s="3204">
        <v>301</v>
      </c>
      <c r="F262" s="3206" t="s">
        <v>3526</v>
      </c>
      <c r="G262" s="3202" t="s">
        <v>3527</v>
      </c>
      <c r="H262" s="3202" t="s">
        <v>3448</v>
      </c>
      <c r="I262" s="3212">
        <v>85.26</v>
      </c>
      <c r="J262" s="3204">
        <v>1</v>
      </c>
    </row>
    <row r="263" spans="1:10">
      <c r="A263" s="3204">
        <v>262</v>
      </c>
      <c r="B263" s="3204">
        <v>3</v>
      </c>
      <c r="C263" s="3204">
        <v>5</v>
      </c>
      <c r="D263" s="3204">
        <v>3</v>
      </c>
      <c r="E263" s="3204">
        <v>302</v>
      </c>
      <c r="F263" s="3206" t="s">
        <v>3531</v>
      </c>
      <c r="G263" s="3202" t="s">
        <v>3527</v>
      </c>
      <c r="H263" s="3202" t="s">
        <v>3532</v>
      </c>
      <c r="I263" s="3212">
        <v>88.46</v>
      </c>
      <c r="J263" s="3204">
        <v>1</v>
      </c>
    </row>
    <row r="264" spans="1:10">
      <c r="A264" s="3204">
        <v>263</v>
      </c>
      <c r="B264" s="3204">
        <v>3</v>
      </c>
      <c r="C264" s="3204">
        <v>5</v>
      </c>
      <c r="D264" s="3204">
        <v>3</v>
      </c>
      <c r="E264" s="3204">
        <v>303</v>
      </c>
      <c r="F264" s="3206" t="s">
        <v>3534</v>
      </c>
      <c r="G264" s="3202" t="s">
        <v>3527</v>
      </c>
      <c r="H264" s="3202" t="s">
        <v>3448</v>
      </c>
      <c r="I264" s="3212">
        <v>82.48</v>
      </c>
      <c r="J264" s="3204">
        <v>1</v>
      </c>
    </row>
    <row r="265" spans="1:10">
      <c r="A265" s="3204">
        <v>264</v>
      </c>
      <c r="B265" s="3204">
        <v>3</v>
      </c>
      <c r="C265" s="3204">
        <v>5</v>
      </c>
      <c r="D265" s="3204">
        <v>4</v>
      </c>
      <c r="E265" s="3204">
        <v>401</v>
      </c>
      <c r="F265" s="3206" t="s">
        <v>3526</v>
      </c>
      <c r="G265" s="3202" t="s">
        <v>3527</v>
      </c>
      <c r="H265" s="3202" t="s">
        <v>3448</v>
      </c>
      <c r="I265" s="3212">
        <v>85.26</v>
      </c>
      <c r="J265" s="3204">
        <v>1</v>
      </c>
    </row>
    <row r="266" spans="1:10">
      <c r="A266" s="3204">
        <v>265</v>
      </c>
      <c r="B266" s="3204">
        <v>3</v>
      </c>
      <c r="C266" s="3204">
        <v>5</v>
      </c>
      <c r="D266" s="3204">
        <v>4</v>
      </c>
      <c r="E266" s="3204">
        <v>402</v>
      </c>
      <c r="F266" s="3206" t="s">
        <v>3531</v>
      </c>
      <c r="G266" s="3202" t="s">
        <v>3527</v>
      </c>
      <c r="H266" s="3202" t="s">
        <v>3532</v>
      </c>
      <c r="I266" s="3212">
        <v>88.46</v>
      </c>
      <c r="J266" s="3204">
        <v>1</v>
      </c>
    </row>
    <row r="267" spans="1:10">
      <c r="A267" s="3204">
        <v>266</v>
      </c>
      <c r="B267" s="3204">
        <v>3</v>
      </c>
      <c r="C267" s="3204">
        <v>5</v>
      </c>
      <c r="D267" s="3204">
        <v>4</v>
      </c>
      <c r="E267" s="3204">
        <v>403</v>
      </c>
      <c r="F267" s="3206" t="s">
        <v>3534</v>
      </c>
      <c r="G267" s="3202" t="s">
        <v>3527</v>
      </c>
      <c r="H267" s="3202" t="s">
        <v>3448</v>
      </c>
      <c r="I267" s="3212">
        <v>82.48</v>
      </c>
      <c r="J267" s="3204">
        <v>1</v>
      </c>
    </row>
    <row r="268" spans="1:10">
      <c r="A268" s="3204">
        <v>267</v>
      </c>
      <c r="B268" s="3204">
        <v>3</v>
      </c>
      <c r="C268" s="3204">
        <v>5</v>
      </c>
      <c r="D268" s="3204">
        <v>5</v>
      </c>
      <c r="E268" s="3204">
        <v>501</v>
      </c>
      <c r="F268" s="3206" t="s">
        <v>3526</v>
      </c>
      <c r="G268" s="3202" t="s">
        <v>3527</v>
      </c>
      <c r="H268" s="3202" t="s">
        <v>3448</v>
      </c>
      <c r="I268" s="3212">
        <v>85.26</v>
      </c>
      <c r="J268" s="3204">
        <v>1</v>
      </c>
    </row>
    <row r="269" spans="1:10">
      <c r="A269" s="3204">
        <v>268</v>
      </c>
      <c r="B269" s="3204">
        <v>3</v>
      </c>
      <c r="C269" s="3204">
        <v>5</v>
      </c>
      <c r="D269" s="3204">
        <v>5</v>
      </c>
      <c r="E269" s="3204">
        <v>502</v>
      </c>
      <c r="F269" s="3206" t="s">
        <v>3531</v>
      </c>
      <c r="G269" s="3202" t="s">
        <v>3527</v>
      </c>
      <c r="H269" s="3202" t="s">
        <v>3532</v>
      </c>
      <c r="I269" s="3212">
        <v>88.46</v>
      </c>
      <c r="J269" s="3204">
        <v>1</v>
      </c>
    </row>
    <row r="270" spans="1:10">
      <c r="A270" s="3204">
        <v>269</v>
      </c>
      <c r="B270" s="3204">
        <v>3</v>
      </c>
      <c r="C270" s="3204">
        <v>5</v>
      </c>
      <c r="D270" s="3204">
        <v>5</v>
      </c>
      <c r="E270" s="3204">
        <v>503</v>
      </c>
      <c r="F270" s="3206" t="s">
        <v>3534</v>
      </c>
      <c r="G270" s="3202" t="s">
        <v>3527</v>
      </c>
      <c r="H270" s="3202" t="s">
        <v>3448</v>
      </c>
      <c r="I270" s="3212">
        <v>82.48</v>
      </c>
      <c r="J270" s="3204">
        <v>1</v>
      </c>
    </row>
    <row r="271" spans="1:10">
      <c r="A271" s="3204">
        <v>270</v>
      </c>
      <c r="B271" s="3204">
        <v>3</v>
      </c>
      <c r="C271" s="3204">
        <v>5</v>
      </c>
      <c r="D271" s="3204">
        <v>6</v>
      </c>
      <c r="E271" s="3204">
        <v>601</v>
      </c>
      <c r="F271" s="3206" t="s">
        <v>3526</v>
      </c>
      <c r="G271" s="3202" t="s">
        <v>3527</v>
      </c>
      <c r="H271" s="3202" t="s">
        <v>3448</v>
      </c>
      <c r="I271" s="3212">
        <v>85.26</v>
      </c>
      <c r="J271" s="3204">
        <v>1</v>
      </c>
    </row>
    <row r="272" spans="1:10">
      <c r="A272" s="3204">
        <v>271</v>
      </c>
      <c r="B272" s="3204">
        <v>3</v>
      </c>
      <c r="C272" s="3204">
        <v>5</v>
      </c>
      <c r="D272" s="3204">
        <v>6</v>
      </c>
      <c r="E272" s="3204">
        <v>602</v>
      </c>
      <c r="F272" s="3206" t="s">
        <v>3531</v>
      </c>
      <c r="G272" s="3202" t="s">
        <v>3527</v>
      </c>
      <c r="H272" s="3202" t="s">
        <v>3532</v>
      </c>
      <c r="I272" s="3212">
        <v>88.46</v>
      </c>
      <c r="J272" s="3204">
        <v>1</v>
      </c>
    </row>
    <row r="273" spans="1:10">
      <c r="A273" s="3204">
        <v>272</v>
      </c>
      <c r="B273" s="3204">
        <v>3</v>
      </c>
      <c r="C273" s="3204">
        <v>5</v>
      </c>
      <c r="D273" s="3204">
        <v>6</v>
      </c>
      <c r="E273" s="3204">
        <v>603</v>
      </c>
      <c r="F273" s="3206" t="s">
        <v>3534</v>
      </c>
      <c r="G273" s="3202" t="s">
        <v>3527</v>
      </c>
      <c r="H273" s="3202" t="s">
        <v>3448</v>
      </c>
      <c r="I273" s="3212">
        <v>82.48</v>
      </c>
      <c r="J273" s="3204">
        <v>1</v>
      </c>
    </row>
    <row r="274" spans="1:10">
      <c r="A274" s="3204">
        <v>273</v>
      </c>
      <c r="B274" s="3204">
        <v>3</v>
      </c>
      <c r="C274" s="3204">
        <v>6</v>
      </c>
      <c r="D274" s="3204">
        <v>2</v>
      </c>
      <c r="E274" s="3204">
        <v>201</v>
      </c>
      <c r="F274" s="3206" t="s">
        <v>2507</v>
      </c>
      <c r="G274" s="3202" t="s">
        <v>3527</v>
      </c>
      <c r="H274" s="3202" t="s">
        <v>3448</v>
      </c>
      <c r="I274" s="3212">
        <v>88.95</v>
      </c>
      <c r="J274" s="3204">
        <v>1</v>
      </c>
    </row>
    <row r="275" spans="1:10">
      <c r="A275" s="3204">
        <v>274</v>
      </c>
      <c r="B275" s="3204">
        <v>3</v>
      </c>
      <c r="C275" s="3204">
        <v>6</v>
      </c>
      <c r="D275" s="3204">
        <v>2</v>
      </c>
      <c r="E275" s="3204">
        <v>202</v>
      </c>
      <c r="F275" s="3206" t="s">
        <v>3600</v>
      </c>
      <c r="G275" s="3202" t="s">
        <v>3585</v>
      </c>
      <c r="H275" s="3202" t="s">
        <v>3579</v>
      </c>
      <c r="I275" s="3212">
        <v>73.06</v>
      </c>
      <c r="J275" s="3204">
        <v>1</v>
      </c>
    </row>
    <row r="276" spans="1:10">
      <c r="A276" s="3204">
        <v>275</v>
      </c>
      <c r="B276" s="3204">
        <v>3</v>
      </c>
      <c r="C276" s="3204">
        <v>6</v>
      </c>
      <c r="D276" s="3204">
        <v>2</v>
      </c>
      <c r="E276" s="3204">
        <v>203</v>
      </c>
      <c r="F276" s="3206" t="s">
        <v>3599</v>
      </c>
      <c r="G276" s="3202" t="s">
        <v>3585</v>
      </c>
      <c r="H276" s="3202" t="s">
        <v>3578</v>
      </c>
      <c r="I276" s="3212">
        <v>57.3</v>
      </c>
      <c r="J276" s="3204">
        <v>1</v>
      </c>
    </row>
    <row r="277" spans="1:10">
      <c r="A277" s="3204">
        <v>276</v>
      </c>
      <c r="B277" s="3204">
        <v>3</v>
      </c>
      <c r="C277" s="3204">
        <v>6</v>
      </c>
      <c r="D277" s="3204">
        <v>2</v>
      </c>
      <c r="E277" s="3204">
        <v>204</v>
      </c>
      <c r="F277" s="3206" t="s">
        <v>3590</v>
      </c>
      <c r="G277" s="3202" t="s">
        <v>3585</v>
      </c>
      <c r="H277" s="3202" t="s">
        <v>3547</v>
      </c>
      <c r="I277" s="3212">
        <v>55.66</v>
      </c>
      <c r="J277" s="3204">
        <v>1</v>
      </c>
    </row>
    <row r="278" spans="1:10">
      <c r="A278" s="3204">
        <v>277</v>
      </c>
      <c r="B278" s="3204">
        <v>3</v>
      </c>
      <c r="C278" s="3204">
        <v>6</v>
      </c>
      <c r="D278" s="3204">
        <v>3</v>
      </c>
      <c r="E278" s="3204">
        <v>301</v>
      </c>
      <c r="F278" s="3206" t="s">
        <v>2507</v>
      </c>
      <c r="G278" s="3202" t="s">
        <v>3527</v>
      </c>
      <c r="H278" s="3202" t="s">
        <v>3448</v>
      </c>
      <c r="I278" s="3212">
        <v>88.95</v>
      </c>
      <c r="J278" s="3204">
        <v>1</v>
      </c>
    </row>
    <row r="279" spans="1:10">
      <c r="A279" s="3204">
        <v>278</v>
      </c>
      <c r="B279" s="3204">
        <v>3</v>
      </c>
      <c r="C279" s="3204">
        <v>6</v>
      </c>
      <c r="D279" s="3204">
        <v>3</v>
      </c>
      <c r="E279" s="3204">
        <v>302</v>
      </c>
      <c r="F279" s="3206" t="s">
        <v>3600</v>
      </c>
      <c r="G279" s="3202" t="s">
        <v>3585</v>
      </c>
      <c r="H279" s="3202" t="s">
        <v>3579</v>
      </c>
      <c r="I279" s="3212">
        <v>73.06</v>
      </c>
      <c r="J279" s="3204">
        <v>1</v>
      </c>
    </row>
    <row r="280" spans="1:10">
      <c r="A280" s="3204">
        <v>279</v>
      </c>
      <c r="B280" s="3204">
        <v>3</v>
      </c>
      <c r="C280" s="3204">
        <v>6</v>
      </c>
      <c r="D280" s="3204">
        <v>3</v>
      </c>
      <c r="E280" s="3204">
        <v>303</v>
      </c>
      <c r="F280" s="3206" t="s">
        <v>3599</v>
      </c>
      <c r="G280" s="3202" t="s">
        <v>3585</v>
      </c>
      <c r="H280" s="3202" t="s">
        <v>3578</v>
      </c>
      <c r="I280" s="3212">
        <v>57.3</v>
      </c>
      <c r="J280" s="3204">
        <v>1</v>
      </c>
    </row>
    <row r="281" spans="1:10">
      <c r="A281" s="3204">
        <v>280</v>
      </c>
      <c r="B281" s="3204">
        <v>3</v>
      </c>
      <c r="C281" s="3204">
        <v>6</v>
      </c>
      <c r="D281" s="3204">
        <v>3</v>
      </c>
      <c r="E281" s="3204">
        <v>304</v>
      </c>
      <c r="F281" s="3206" t="s">
        <v>3590</v>
      </c>
      <c r="G281" s="3202" t="s">
        <v>3585</v>
      </c>
      <c r="H281" s="3202" t="s">
        <v>3547</v>
      </c>
      <c r="I281" s="3212">
        <v>55.66</v>
      </c>
      <c r="J281" s="3204">
        <v>1</v>
      </c>
    </row>
    <row r="282" spans="1:10">
      <c r="A282" s="3204">
        <v>281</v>
      </c>
      <c r="B282" s="3204">
        <v>3</v>
      </c>
      <c r="C282" s="3204">
        <v>6</v>
      </c>
      <c r="D282" s="3204">
        <v>4</v>
      </c>
      <c r="E282" s="3204">
        <v>401</v>
      </c>
      <c r="F282" s="3206" t="s">
        <v>2507</v>
      </c>
      <c r="G282" s="3202" t="s">
        <v>3527</v>
      </c>
      <c r="H282" s="3202" t="s">
        <v>3448</v>
      </c>
      <c r="I282" s="3212">
        <v>88.95</v>
      </c>
      <c r="J282" s="3204">
        <v>1</v>
      </c>
    </row>
    <row r="283" spans="1:10">
      <c r="A283" s="3204">
        <v>282</v>
      </c>
      <c r="B283" s="3204">
        <v>3</v>
      </c>
      <c r="C283" s="3204">
        <v>6</v>
      </c>
      <c r="D283" s="3204">
        <v>4</v>
      </c>
      <c r="E283" s="3204">
        <v>402</v>
      </c>
      <c r="F283" s="3206" t="s">
        <v>3600</v>
      </c>
      <c r="G283" s="3202" t="s">
        <v>3585</v>
      </c>
      <c r="H283" s="3202" t="s">
        <v>3579</v>
      </c>
      <c r="I283" s="3212">
        <v>73.06</v>
      </c>
      <c r="J283" s="3204">
        <v>1</v>
      </c>
    </row>
    <row r="284" spans="1:10">
      <c r="A284" s="3204">
        <v>283</v>
      </c>
      <c r="B284" s="3204">
        <v>3</v>
      </c>
      <c r="C284" s="3204">
        <v>6</v>
      </c>
      <c r="D284" s="3204">
        <v>4</v>
      </c>
      <c r="E284" s="3204">
        <v>403</v>
      </c>
      <c r="F284" s="3206" t="s">
        <v>3599</v>
      </c>
      <c r="G284" s="3202" t="s">
        <v>3585</v>
      </c>
      <c r="H284" s="3202" t="s">
        <v>3578</v>
      </c>
      <c r="I284" s="3212">
        <v>57.3</v>
      </c>
      <c r="J284" s="3204">
        <v>1</v>
      </c>
    </row>
    <row r="285" spans="1:10">
      <c r="A285" s="3204">
        <v>284</v>
      </c>
      <c r="B285" s="3204">
        <v>3</v>
      </c>
      <c r="C285" s="3204">
        <v>6</v>
      </c>
      <c r="D285" s="3204">
        <v>4</v>
      </c>
      <c r="E285" s="3204">
        <v>404</v>
      </c>
      <c r="F285" s="3206" t="s">
        <v>3590</v>
      </c>
      <c r="G285" s="3202" t="s">
        <v>3585</v>
      </c>
      <c r="H285" s="3202" t="s">
        <v>3547</v>
      </c>
      <c r="I285" s="3212">
        <v>55.66</v>
      </c>
      <c r="J285" s="3204">
        <v>1</v>
      </c>
    </row>
    <row r="286" spans="1:10">
      <c r="A286" s="3204">
        <v>285</v>
      </c>
      <c r="B286" s="3204">
        <v>3</v>
      </c>
      <c r="C286" s="3204">
        <v>6</v>
      </c>
      <c r="D286" s="3204">
        <v>5</v>
      </c>
      <c r="E286" s="3204">
        <v>501</v>
      </c>
      <c r="F286" s="3206" t="s">
        <v>2507</v>
      </c>
      <c r="G286" s="3202" t="s">
        <v>3527</v>
      </c>
      <c r="H286" s="3202" t="s">
        <v>3448</v>
      </c>
      <c r="I286" s="3212">
        <v>88.95</v>
      </c>
      <c r="J286" s="3204">
        <v>1</v>
      </c>
    </row>
    <row r="287" spans="1:10">
      <c r="A287" s="3204">
        <v>286</v>
      </c>
      <c r="B287" s="3204">
        <v>3</v>
      </c>
      <c r="C287" s="3204">
        <v>6</v>
      </c>
      <c r="D287" s="3204">
        <v>5</v>
      </c>
      <c r="E287" s="3204">
        <v>502</v>
      </c>
      <c r="F287" s="3206" t="s">
        <v>3600</v>
      </c>
      <c r="G287" s="3202" t="s">
        <v>3585</v>
      </c>
      <c r="H287" s="3202" t="s">
        <v>3579</v>
      </c>
      <c r="I287" s="3212">
        <v>73.06</v>
      </c>
      <c r="J287" s="3204">
        <v>1</v>
      </c>
    </row>
    <row r="288" spans="1:10">
      <c r="A288" s="3204">
        <v>287</v>
      </c>
      <c r="B288" s="3204">
        <v>3</v>
      </c>
      <c r="C288" s="3204">
        <v>6</v>
      </c>
      <c r="D288" s="3204">
        <v>5</v>
      </c>
      <c r="E288" s="3204">
        <v>503</v>
      </c>
      <c r="F288" s="3206" t="s">
        <v>3599</v>
      </c>
      <c r="G288" s="3202" t="s">
        <v>3585</v>
      </c>
      <c r="H288" s="3202" t="s">
        <v>3578</v>
      </c>
      <c r="I288" s="3212">
        <v>57.3</v>
      </c>
      <c r="J288" s="3204">
        <v>1</v>
      </c>
    </row>
    <row r="289" spans="1:10">
      <c r="A289" s="3204">
        <v>288</v>
      </c>
      <c r="B289" s="3204">
        <v>3</v>
      </c>
      <c r="C289" s="3204">
        <v>6</v>
      </c>
      <c r="D289" s="3204">
        <v>5</v>
      </c>
      <c r="E289" s="3204">
        <v>504</v>
      </c>
      <c r="F289" s="3206" t="s">
        <v>3590</v>
      </c>
      <c r="G289" s="3202" t="s">
        <v>3585</v>
      </c>
      <c r="H289" s="3202" t="s">
        <v>3547</v>
      </c>
      <c r="I289" s="3212">
        <v>55.66</v>
      </c>
      <c r="J289" s="3204">
        <v>1</v>
      </c>
    </row>
    <row r="290" spans="1:10">
      <c r="A290" s="3204">
        <v>289</v>
      </c>
      <c r="B290" s="3204">
        <v>3</v>
      </c>
      <c r="C290" s="3204">
        <v>6</v>
      </c>
      <c r="D290" s="3204">
        <v>6</v>
      </c>
      <c r="E290" s="3204">
        <v>601</v>
      </c>
      <c r="F290" s="3206" t="s">
        <v>2507</v>
      </c>
      <c r="G290" s="3202" t="s">
        <v>3527</v>
      </c>
      <c r="H290" s="3202" t="s">
        <v>3448</v>
      </c>
      <c r="I290" s="3212">
        <v>88.95</v>
      </c>
      <c r="J290" s="3204">
        <v>1</v>
      </c>
    </row>
    <row r="291" spans="1:10">
      <c r="A291" s="3204">
        <v>290</v>
      </c>
      <c r="B291" s="3204">
        <v>3</v>
      </c>
      <c r="C291" s="3204">
        <v>6</v>
      </c>
      <c r="D291" s="3204">
        <v>6</v>
      </c>
      <c r="E291" s="3204">
        <v>602</v>
      </c>
      <c r="F291" s="3206" t="s">
        <v>3600</v>
      </c>
      <c r="G291" s="3202" t="s">
        <v>3585</v>
      </c>
      <c r="H291" s="3202" t="s">
        <v>3579</v>
      </c>
      <c r="I291" s="3212">
        <v>73.06</v>
      </c>
      <c r="J291" s="3204">
        <v>1</v>
      </c>
    </row>
    <row r="292" spans="1:10">
      <c r="A292" s="3204">
        <v>291</v>
      </c>
      <c r="B292" s="3204">
        <v>3</v>
      </c>
      <c r="C292" s="3204">
        <v>6</v>
      </c>
      <c r="D292" s="3204">
        <v>6</v>
      </c>
      <c r="E292" s="3204">
        <v>603</v>
      </c>
      <c r="F292" s="3206" t="s">
        <v>3599</v>
      </c>
      <c r="G292" s="3202" t="s">
        <v>3585</v>
      </c>
      <c r="H292" s="3202" t="s">
        <v>3578</v>
      </c>
      <c r="I292" s="3212">
        <v>57.3</v>
      </c>
      <c r="J292" s="3204">
        <v>1</v>
      </c>
    </row>
    <row r="293" spans="1:10">
      <c r="A293" s="3204">
        <v>292</v>
      </c>
      <c r="B293" s="3204">
        <v>3</v>
      </c>
      <c r="C293" s="3204">
        <v>6</v>
      </c>
      <c r="D293" s="3204">
        <v>6</v>
      </c>
      <c r="E293" s="3204">
        <v>604</v>
      </c>
      <c r="F293" s="3206" t="s">
        <v>3590</v>
      </c>
      <c r="G293" s="3202" t="s">
        <v>3585</v>
      </c>
      <c r="H293" s="3202" t="s">
        <v>3547</v>
      </c>
      <c r="I293" s="3212">
        <v>55.66</v>
      </c>
      <c r="J293" s="3204">
        <v>1</v>
      </c>
    </row>
    <row r="294" spans="1:10">
      <c r="A294" s="3204">
        <v>293</v>
      </c>
      <c r="B294" s="3204">
        <v>3</v>
      </c>
      <c r="C294" s="3204">
        <v>7</v>
      </c>
      <c r="D294" s="3204">
        <v>2</v>
      </c>
      <c r="E294" s="3204">
        <v>201</v>
      </c>
      <c r="F294" s="3206" t="s">
        <v>3554</v>
      </c>
      <c r="G294" s="3202" t="s">
        <v>3527</v>
      </c>
      <c r="H294" s="3202" t="s">
        <v>3547</v>
      </c>
      <c r="I294" s="3212">
        <v>85.22</v>
      </c>
      <c r="J294" s="3204">
        <v>1</v>
      </c>
    </row>
    <row r="295" spans="1:10">
      <c r="A295" s="3204">
        <v>294</v>
      </c>
      <c r="B295" s="3204">
        <v>3</v>
      </c>
      <c r="C295" s="3204">
        <v>7</v>
      </c>
      <c r="D295" s="3204">
        <v>2</v>
      </c>
      <c r="E295" s="3204">
        <v>202</v>
      </c>
      <c r="F295" s="3206" t="s">
        <v>3539</v>
      </c>
      <c r="G295" s="3202" t="s">
        <v>3527</v>
      </c>
      <c r="H295" s="3202" t="s">
        <v>3578</v>
      </c>
      <c r="I295" s="3212">
        <v>88.25</v>
      </c>
      <c r="J295" s="3204">
        <v>1</v>
      </c>
    </row>
    <row r="296" spans="1:10">
      <c r="A296" s="3204">
        <v>295</v>
      </c>
      <c r="B296" s="3204">
        <v>3</v>
      </c>
      <c r="C296" s="3204">
        <v>7</v>
      </c>
      <c r="D296" s="3204">
        <v>2</v>
      </c>
      <c r="E296" s="3204">
        <v>203</v>
      </c>
      <c r="F296" s="3206" t="s">
        <v>3569</v>
      </c>
      <c r="G296" s="3202" t="s">
        <v>3527</v>
      </c>
      <c r="H296" s="3202" t="s">
        <v>3532</v>
      </c>
      <c r="I296" s="3212">
        <v>89.41</v>
      </c>
      <c r="J296" s="3204">
        <v>1</v>
      </c>
    </row>
    <row r="297" spans="1:10">
      <c r="A297" s="3204">
        <v>296</v>
      </c>
      <c r="B297" s="3204">
        <v>3</v>
      </c>
      <c r="C297" s="3204">
        <v>7</v>
      </c>
      <c r="D297" s="3204">
        <v>3</v>
      </c>
      <c r="E297" s="3204">
        <v>301</v>
      </c>
      <c r="F297" s="3206" t="s">
        <v>3554</v>
      </c>
      <c r="G297" s="3202" t="s">
        <v>3527</v>
      </c>
      <c r="H297" s="3202" t="s">
        <v>3547</v>
      </c>
      <c r="I297" s="3212">
        <v>85.22</v>
      </c>
      <c r="J297" s="3204">
        <v>1</v>
      </c>
    </row>
    <row r="298" spans="1:10">
      <c r="A298" s="3204">
        <v>297</v>
      </c>
      <c r="B298" s="3204">
        <v>3</v>
      </c>
      <c r="C298" s="3204">
        <v>7</v>
      </c>
      <c r="D298" s="3204">
        <v>3</v>
      </c>
      <c r="E298" s="3204">
        <v>302</v>
      </c>
      <c r="F298" s="3206" t="s">
        <v>3539</v>
      </c>
      <c r="G298" s="3202" t="s">
        <v>3527</v>
      </c>
      <c r="H298" s="3202" t="s">
        <v>3578</v>
      </c>
      <c r="I298" s="3212">
        <v>88.25</v>
      </c>
      <c r="J298" s="3204">
        <v>1</v>
      </c>
    </row>
    <row r="299" spans="1:10">
      <c r="A299" s="3204">
        <v>298</v>
      </c>
      <c r="B299" s="3204">
        <v>3</v>
      </c>
      <c r="C299" s="3204">
        <v>7</v>
      </c>
      <c r="D299" s="3204">
        <v>3</v>
      </c>
      <c r="E299" s="3204">
        <v>303</v>
      </c>
      <c r="F299" s="3206" t="s">
        <v>3569</v>
      </c>
      <c r="G299" s="3202" t="s">
        <v>3527</v>
      </c>
      <c r="H299" s="3202" t="s">
        <v>3532</v>
      </c>
      <c r="I299" s="3212">
        <v>89.41</v>
      </c>
      <c r="J299" s="3204">
        <v>1</v>
      </c>
    </row>
    <row r="300" spans="1:10">
      <c r="A300" s="3204">
        <v>299</v>
      </c>
      <c r="B300" s="3204">
        <v>3</v>
      </c>
      <c r="C300" s="3204">
        <v>7</v>
      </c>
      <c r="D300" s="3204">
        <v>4</v>
      </c>
      <c r="E300" s="3204">
        <v>401</v>
      </c>
      <c r="F300" s="3206" t="s">
        <v>3554</v>
      </c>
      <c r="G300" s="3202" t="s">
        <v>3527</v>
      </c>
      <c r="H300" s="3202" t="s">
        <v>3547</v>
      </c>
      <c r="I300" s="3212">
        <v>85.22</v>
      </c>
      <c r="J300" s="3204">
        <v>1</v>
      </c>
    </row>
    <row r="301" spans="1:10">
      <c r="A301" s="3204">
        <v>300</v>
      </c>
      <c r="B301" s="3204">
        <v>3</v>
      </c>
      <c r="C301" s="3204">
        <v>7</v>
      </c>
      <c r="D301" s="3204">
        <v>4</v>
      </c>
      <c r="E301" s="3204">
        <v>402</v>
      </c>
      <c r="F301" s="3206" t="s">
        <v>3539</v>
      </c>
      <c r="G301" s="3202" t="s">
        <v>3527</v>
      </c>
      <c r="H301" s="3202" t="s">
        <v>3578</v>
      </c>
      <c r="I301" s="3212">
        <v>88.25</v>
      </c>
      <c r="J301" s="3204">
        <v>1</v>
      </c>
    </row>
    <row r="302" spans="1:10">
      <c r="A302" s="3204">
        <v>301</v>
      </c>
      <c r="B302" s="3204">
        <v>3</v>
      </c>
      <c r="C302" s="3204">
        <v>7</v>
      </c>
      <c r="D302" s="3204">
        <v>4</v>
      </c>
      <c r="E302" s="3204">
        <v>403</v>
      </c>
      <c r="F302" s="3206" t="s">
        <v>3569</v>
      </c>
      <c r="G302" s="3202" t="s">
        <v>3527</v>
      </c>
      <c r="H302" s="3202" t="s">
        <v>3532</v>
      </c>
      <c r="I302" s="3212">
        <v>89.41</v>
      </c>
      <c r="J302" s="3204">
        <v>1</v>
      </c>
    </row>
    <row r="303" spans="1:10">
      <c r="A303" s="3204">
        <v>302</v>
      </c>
      <c r="B303" s="3204">
        <v>3</v>
      </c>
      <c r="C303" s="3204">
        <v>7</v>
      </c>
      <c r="D303" s="3204">
        <v>5</v>
      </c>
      <c r="E303" s="3204">
        <v>501</v>
      </c>
      <c r="F303" s="3206" t="s">
        <v>3554</v>
      </c>
      <c r="G303" s="3202" t="s">
        <v>3527</v>
      </c>
      <c r="H303" s="3202" t="s">
        <v>3547</v>
      </c>
      <c r="I303" s="3212">
        <v>85.22</v>
      </c>
      <c r="J303" s="3204">
        <v>1</v>
      </c>
    </row>
    <row r="304" spans="1:10">
      <c r="A304" s="3204">
        <v>303</v>
      </c>
      <c r="B304" s="3204">
        <v>3</v>
      </c>
      <c r="C304" s="3204">
        <v>7</v>
      </c>
      <c r="D304" s="3204">
        <v>5</v>
      </c>
      <c r="E304" s="3204">
        <v>502</v>
      </c>
      <c r="F304" s="3206" t="s">
        <v>3539</v>
      </c>
      <c r="G304" s="3202" t="s">
        <v>3527</v>
      </c>
      <c r="H304" s="3202" t="s">
        <v>3578</v>
      </c>
      <c r="I304" s="3212">
        <v>88.25</v>
      </c>
      <c r="J304" s="3204">
        <v>1</v>
      </c>
    </row>
    <row r="305" spans="1:10">
      <c r="A305" s="3204">
        <v>304</v>
      </c>
      <c r="B305" s="3204">
        <v>3</v>
      </c>
      <c r="C305" s="3204">
        <v>7</v>
      </c>
      <c r="D305" s="3204">
        <v>5</v>
      </c>
      <c r="E305" s="3204">
        <v>503</v>
      </c>
      <c r="F305" s="3206" t="s">
        <v>3569</v>
      </c>
      <c r="G305" s="3202" t="s">
        <v>3527</v>
      </c>
      <c r="H305" s="3202" t="s">
        <v>3532</v>
      </c>
      <c r="I305" s="3212">
        <v>89.41</v>
      </c>
      <c r="J305" s="3204">
        <v>1</v>
      </c>
    </row>
    <row r="306" spans="1:10">
      <c r="A306" s="3204">
        <v>305</v>
      </c>
      <c r="B306" s="3204">
        <v>3</v>
      </c>
      <c r="C306" s="3204">
        <v>7</v>
      </c>
      <c r="D306" s="3204">
        <v>6</v>
      </c>
      <c r="E306" s="3204">
        <v>601</v>
      </c>
      <c r="F306" s="3206" t="s">
        <v>3554</v>
      </c>
      <c r="G306" s="3202" t="s">
        <v>3527</v>
      </c>
      <c r="H306" s="3202" t="s">
        <v>3547</v>
      </c>
      <c r="I306" s="3212">
        <v>85.22</v>
      </c>
      <c r="J306" s="3204">
        <v>1</v>
      </c>
    </row>
    <row r="307" spans="1:10">
      <c r="A307" s="3204">
        <v>306</v>
      </c>
      <c r="B307" s="3204">
        <v>3</v>
      </c>
      <c r="C307" s="3204">
        <v>7</v>
      </c>
      <c r="D307" s="3204">
        <v>6</v>
      </c>
      <c r="E307" s="3204">
        <v>602</v>
      </c>
      <c r="F307" s="3206" t="s">
        <v>3539</v>
      </c>
      <c r="G307" s="3202" t="s">
        <v>3527</v>
      </c>
      <c r="H307" s="3202" t="s">
        <v>3578</v>
      </c>
      <c r="I307" s="3212">
        <v>88.25</v>
      </c>
      <c r="J307" s="3204">
        <v>1</v>
      </c>
    </row>
    <row r="308" spans="1:10">
      <c r="A308" s="3204">
        <v>307</v>
      </c>
      <c r="B308" s="3204">
        <v>3</v>
      </c>
      <c r="C308" s="3204">
        <v>7</v>
      </c>
      <c r="D308" s="3204">
        <v>6</v>
      </c>
      <c r="E308" s="3204">
        <v>603</v>
      </c>
      <c r="F308" s="3206" t="s">
        <v>3569</v>
      </c>
      <c r="G308" s="3202" t="s">
        <v>3527</v>
      </c>
      <c r="H308" s="3202" t="s">
        <v>3532</v>
      </c>
      <c r="I308" s="3212">
        <v>89.41</v>
      </c>
      <c r="J308" s="3204">
        <v>1</v>
      </c>
    </row>
    <row r="309" spans="1:10">
      <c r="A309" s="3204">
        <v>308</v>
      </c>
      <c r="B309" s="3204">
        <v>6</v>
      </c>
      <c r="C309" s="3204">
        <v>1</v>
      </c>
      <c r="D309" s="3204">
        <v>1</v>
      </c>
      <c r="E309" s="3204">
        <v>101</v>
      </c>
      <c r="F309" s="3206" t="s">
        <v>3597</v>
      </c>
      <c r="G309" s="3202" t="s">
        <v>3585</v>
      </c>
      <c r="H309" s="3202" t="s">
        <v>3448</v>
      </c>
      <c r="I309" s="3212">
        <v>68.67</v>
      </c>
      <c r="J309" s="3204">
        <v>1</v>
      </c>
    </row>
    <row r="310" spans="1:10">
      <c r="A310" s="3204">
        <v>309</v>
      </c>
      <c r="B310" s="3204">
        <v>6</v>
      </c>
      <c r="C310" s="3204">
        <v>1</v>
      </c>
      <c r="D310" s="3204">
        <v>1</v>
      </c>
      <c r="E310" s="3204">
        <v>102</v>
      </c>
      <c r="F310" s="3206" t="s">
        <v>3539</v>
      </c>
      <c r="G310" s="3202" t="s">
        <v>3527</v>
      </c>
      <c r="H310" s="3202" t="s">
        <v>3532</v>
      </c>
      <c r="I310" s="3212">
        <v>85.39</v>
      </c>
      <c r="J310" s="3204">
        <v>1</v>
      </c>
    </row>
    <row r="311" spans="1:10">
      <c r="A311" s="3204">
        <v>310</v>
      </c>
      <c r="B311" s="3204">
        <v>6</v>
      </c>
      <c r="C311" s="3204">
        <v>1</v>
      </c>
      <c r="D311" s="3204">
        <v>1</v>
      </c>
      <c r="E311" s="3204">
        <v>103</v>
      </c>
      <c r="F311" s="3206" t="s">
        <v>3554</v>
      </c>
      <c r="G311" s="3202" t="s">
        <v>3527</v>
      </c>
      <c r="H311" s="3202" t="s">
        <v>3448</v>
      </c>
      <c r="I311" s="3212">
        <v>82.34</v>
      </c>
      <c r="J311" s="3204">
        <v>1</v>
      </c>
    </row>
    <row r="312" spans="1:10">
      <c r="A312" s="3204">
        <v>311</v>
      </c>
      <c r="B312" s="3204">
        <v>6</v>
      </c>
      <c r="C312" s="3204">
        <v>1</v>
      </c>
      <c r="D312" s="3204">
        <v>2</v>
      </c>
      <c r="E312" s="3204">
        <v>201</v>
      </c>
      <c r="F312" s="3206" t="s">
        <v>3568</v>
      </c>
      <c r="G312" s="3202" t="s">
        <v>3527</v>
      </c>
      <c r="H312" s="3202" t="s">
        <v>3448</v>
      </c>
      <c r="I312" s="3212">
        <v>86.51</v>
      </c>
      <c r="J312" s="3204">
        <v>1</v>
      </c>
    </row>
    <row r="313" spans="1:10">
      <c r="A313" s="3204">
        <v>312</v>
      </c>
      <c r="B313" s="3204">
        <v>6</v>
      </c>
      <c r="C313" s="3204">
        <v>1</v>
      </c>
      <c r="D313" s="3204">
        <v>2</v>
      </c>
      <c r="E313" s="3204">
        <v>202</v>
      </c>
      <c r="F313" s="3206" t="s">
        <v>3539</v>
      </c>
      <c r="G313" s="3202" t="s">
        <v>3527</v>
      </c>
      <c r="H313" s="3202" t="s">
        <v>3532</v>
      </c>
      <c r="I313" s="3212">
        <v>85.39</v>
      </c>
      <c r="J313" s="3204">
        <v>1</v>
      </c>
    </row>
    <row r="314" spans="1:10">
      <c r="A314" s="3204">
        <v>313</v>
      </c>
      <c r="B314" s="3204">
        <v>6</v>
      </c>
      <c r="C314" s="3204">
        <v>1</v>
      </c>
      <c r="D314" s="3204">
        <v>2</v>
      </c>
      <c r="E314" s="3204">
        <v>203</v>
      </c>
      <c r="F314" s="3206" t="s">
        <v>3554</v>
      </c>
      <c r="G314" s="3202" t="s">
        <v>3527</v>
      </c>
      <c r="H314" s="3202" t="s">
        <v>3448</v>
      </c>
      <c r="I314" s="3212">
        <v>82.34</v>
      </c>
      <c r="J314" s="3204">
        <v>1</v>
      </c>
    </row>
    <row r="315" spans="1:10">
      <c r="A315" s="3204">
        <v>314</v>
      </c>
      <c r="B315" s="3204">
        <v>6</v>
      </c>
      <c r="C315" s="3204">
        <v>1</v>
      </c>
      <c r="D315" s="3204">
        <v>3</v>
      </c>
      <c r="E315" s="3204">
        <v>301</v>
      </c>
      <c r="F315" s="3206" t="s">
        <v>3568</v>
      </c>
      <c r="G315" s="3202" t="s">
        <v>3527</v>
      </c>
      <c r="H315" s="3202" t="s">
        <v>3448</v>
      </c>
      <c r="I315" s="3212">
        <v>86.51</v>
      </c>
      <c r="J315" s="3204">
        <v>1</v>
      </c>
    </row>
    <row r="316" spans="1:10">
      <c r="A316" s="3204">
        <v>315</v>
      </c>
      <c r="B316" s="3204">
        <v>6</v>
      </c>
      <c r="C316" s="3204">
        <v>1</v>
      </c>
      <c r="D316" s="3204">
        <v>3</v>
      </c>
      <c r="E316" s="3204">
        <v>302</v>
      </c>
      <c r="F316" s="3206" t="s">
        <v>3539</v>
      </c>
      <c r="G316" s="3202" t="s">
        <v>3527</v>
      </c>
      <c r="H316" s="3202" t="s">
        <v>3532</v>
      </c>
      <c r="I316" s="3212">
        <v>85.39</v>
      </c>
      <c r="J316" s="3204">
        <v>1</v>
      </c>
    </row>
    <row r="317" spans="1:10">
      <c r="A317" s="3204">
        <v>316</v>
      </c>
      <c r="B317" s="3204">
        <v>6</v>
      </c>
      <c r="C317" s="3204">
        <v>1</v>
      </c>
      <c r="D317" s="3204">
        <v>3</v>
      </c>
      <c r="E317" s="3204">
        <v>303</v>
      </c>
      <c r="F317" s="3206" t="s">
        <v>3554</v>
      </c>
      <c r="G317" s="3202" t="s">
        <v>3527</v>
      </c>
      <c r="H317" s="3202" t="s">
        <v>3448</v>
      </c>
      <c r="I317" s="3212">
        <v>82.34</v>
      </c>
      <c r="J317" s="3204">
        <v>1</v>
      </c>
    </row>
    <row r="318" spans="1:10">
      <c r="A318" s="3204">
        <v>317</v>
      </c>
      <c r="B318" s="3204">
        <v>6</v>
      </c>
      <c r="C318" s="3204">
        <v>1</v>
      </c>
      <c r="D318" s="3204">
        <v>4</v>
      </c>
      <c r="E318" s="3204">
        <v>401</v>
      </c>
      <c r="F318" s="3206" t="s">
        <v>3568</v>
      </c>
      <c r="G318" s="3202" t="s">
        <v>3527</v>
      </c>
      <c r="H318" s="3202" t="s">
        <v>3448</v>
      </c>
      <c r="I318" s="3212">
        <v>86.51</v>
      </c>
      <c r="J318" s="3204">
        <v>1</v>
      </c>
    </row>
    <row r="319" spans="1:10">
      <c r="A319" s="3204">
        <v>318</v>
      </c>
      <c r="B319" s="3204">
        <v>6</v>
      </c>
      <c r="C319" s="3204">
        <v>1</v>
      </c>
      <c r="D319" s="3204">
        <v>4</v>
      </c>
      <c r="E319" s="3204">
        <v>402</v>
      </c>
      <c r="F319" s="3206" t="s">
        <v>3539</v>
      </c>
      <c r="G319" s="3202" t="s">
        <v>3527</v>
      </c>
      <c r="H319" s="3202" t="s">
        <v>3532</v>
      </c>
      <c r="I319" s="3212">
        <v>85.39</v>
      </c>
      <c r="J319" s="3204">
        <v>1</v>
      </c>
    </row>
    <row r="320" spans="1:10">
      <c r="A320" s="3204">
        <v>319</v>
      </c>
      <c r="B320" s="3204">
        <v>6</v>
      </c>
      <c r="C320" s="3204">
        <v>1</v>
      </c>
      <c r="D320" s="3204">
        <v>4</v>
      </c>
      <c r="E320" s="3204">
        <v>403</v>
      </c>
      <c r="F320" s="3206" t="s">
        <v>3554</v>
      </c>
      <c r="G320" s="3202" t="s">
        <v>3527</v>
      </c>
      <c r="H320" s="3202" t="s">
        <v>3448</v>
      </c>
      <c r="I320" s="3212">
        <v>82.34</v>
      </c>
      <c r="J320" s="3204">
        <v>1</v>
      </c>
    </row>
    <row r="321" spans="1:10">
      <c r="A321" s="3204">
        <v>320</v>
      </c>
      <c r="B321" s="3204">
        <v>6</v>
      </c>
      <c r="C321" s="3204">
        <v>1</v>
      </c>
      <c r="D321" s="3204">
        <v>5</v>
      </c>
      <c r="E321" s="3204">
        <v>501</v>
      </c>
      <c r="F321" s="3206" t="s">
        <v>3568</v>
      </c>
      <c r="G321" s="3202" t="s">
        <v>3527</v>
      </c>
      <c r="H321" s="3202" t="s">
        <v>3448</v>
      </c>
      <c r="I321" s="3212">
        <v>86.51</v>
      </c>
      <c r="J321" s="3204">
        <v>1</v>
      </c>
    </row>
    <row r="322" spans="1:10">
      <c r="A322" s="3204">
        <v>321</v>
      </c>
      <c r="B322" s="3204">
        <v>6</v>
      </c>
      <c r="C322" s="3204">
        <v>1</v>
      </c>
      <c r="D322" s="3204">
        <v>5</v>
      </c>
      <c r="E322" s="3204">
        <v>502</v>
      </c>
      <c r="F322" s="3206" t="s">
        <v>3539</v>
      </c>
      <c r="G322" s="3202" t="s">
        <v>3527</v>
      </c>
      <c r="H322" s="3202" t="s">
        <v>3532</v>
      </c>
      <c r="I322" s="3212">
        <v>85.39</v>
      </c>
      <c r="J322" s="3204">
        <v>1</v>
      </c>
    </row>
    <row r="323" spans="1:10">
      <c r="A323" s="3204">
        <v>322</v>
      </c>
      <c r="B323" s="3204">
        <v>6</v>
      </c>
      <c r="C323" s="3204">
        <v>1</v>
      </c>
      <c r="D323" s="3204">
        <v>5</v>
      </c>
      <c r="E323" s="3204">
        <v>503</v>
      </c>
      <c r="F323" s="3206" t="s">
        <v>3554</v>
      </c>
      <c r="G323" s="3202" t="s">
        <v>3527</v>
      </c>
      <c r="H323" s="3202" t="s">
        <v>3448</v>
      </c>
      <c r="I323" s="3212">
        <v>82.34</v>
      </c>
      <c r="J323" s="3204">
        <v>1</v>
      </c>
    </row>
    <row r="324" spans="1:10">
      <c r="A324" s="3204">
        <v>323</v>
      </c>
      <c r="B324" s="3204">
        <v>6</v>
      </c>
      <c r="C324" s="3204">
        <v>1</v>
      </c>
      <c r="D324" s="3204">
        <v>6</v>
      </c>
      <c r="E324" s="3204">
        <v>601</v>
      </c>
      <c r="F324" s="3206" t="s">
        <v>3568</v>
      </c>
      <c r="G324" s="3202" t="s">
        <v>3527</v>
      </c>
      <c r="H324" s="3202" t="s">
        <v>3448</v>
      </c>
      <c r="I324" s="3212">
        <v>86.51</v>
      </c>
      <c r="J324" s="3204">
        <v>1</v>
      </c>
    </row>
    <row r="325" spans="1:10">
      <c r="A325" s="3204">
        <v>324</v>
      </c>
      <c r="B325" s="3204">
        <v>6</v>
      </c>
      <c r="C325" s="3204">
        <v>1</v>
      </c>
      <c r="D325" s="3204">
        <v>6</v>
      </c>
      <c r="E325" s="3204">
        <v>602</v>
      </c>
      <c r="F325" s="3206" t="s">
        <v>3539</v>
      </c>
      <c r="G325" s="3202" t="s">
        <v>3527</v>
      </c>
      <c r="H325" s="3202" t="s">
        <v>3532</v>
      </c>
      <c r="I325" s="3212">
        <v>85.39</v>
      </c>
      <c r="J325" s="3204">
        <v>1</v>
      </c>
    </row>
    <row r="326" spans="1:10">
      <c r="A326" s="3204">
        <v>325</v>
      </c>
      <c r="B326" s="3204">
        <v>6</v>
      </c>
      <c r="C326" s="3204">
        <v>1</v>
      </c>
      <c r="D326" s="3204">
        <v>6</v>
      </c>
      <c r="E326" s="3204">
        <v>603</v>
      </c>
      <c r="F326" s="3206" t="s">
        <v>3554</v>
      </c>
      <c r="G326" s="3202" t="s">
        <v>3527</v>
      </c>
      <c r="H326" s="3202" t="s">
        <v>3448</v>
      </c>
      <c r="I326" s="3212">
        <v>82.34</v>
      </c>
      <c r="J326" s="3204">
        <v>1</v>
      </c>
    </row>
    <row r="327" spans="1:10">
      <c r="A327" s="3204">
        <v>326</v>
      </c>
      <c r="B327" s="3204">
        <v>6</v>
      </c>
      <c r="C327" s="3204">
        <v>2</v>
      </c>
      <c r="D327" s="3204">
        <v>1</v>
      </c>
      <c r="E327" s="3204">
        <v>101</v>
      </c>
      <c r="F327" s="3206" t="s">
        <v>404</v>
      </c>
      <c r="G327" s="3202" t="s">
        <v>3527</v>
      </c>
      <c r="H327" s="3202" t="s">
        <v>3448</v>
      </c>
      <c r="I327" s="3212">
        <v>82.34</v>
      </c>
      <c r="J327" s="3204">
        <v>1</v>
      </c>
    </row>
    <row r="328" spans="1:10">
      <c r="A328" s="3204">
        <v>327</v>
      </c>
      <c r="B328" s="3204">
        <v>6</v>
      </c>
      <c r="C328" s="3204">
        <v>2</v>
      </c>
      <c r="D328" s="3204">
        <v>1</v>
      </c>
      <c r="E328" s="3204">
        <v>102</v>
      </c>
      <c r="F328" s="3206" t="s">
        <v>409</v>
      </c>
      <c r="G328" s="3202" t="s">
        <v>3527</v>
      </c>
      <c r="H328" s="3202" t="s">
        <v>3532</v>
      </c>
      <c r="I328" s="3212">
        <v>85.39</v>
      </c>
      <c r="J328" s="3204">
        <v>1</v>
      </c>
    </row>
    <row r="329" spans="1:10">
      <c r="A329" s="3204">
        <v>328</v>
      </c>
      <c r="B329" s="3204">
        <v>6</v>
      </c>
      <c r="C329" s="3204">
        <v>2</v>
      </c>
      <c r="D329" s="3204">
        <v>1</v>
      </c>
      <c r="E329" s="3204">
        <v>103</v>
      </c>
      <c r="F329" s="3206" t="s">
        <v>3596</v>
      </c>
      <c r="G329" s="3202" t="s">
        <v>3585</v>
      </c>
      <c r="H329" s="3202" t="s">
        <v>3448</v>
      </c>
      <c r="I329" s="3212">
        <v>67.92</v>
      </c>
      <c r="J329" s="3204">
        <v>1</v>
      </c>
    </row>
    <row r="330" spans="1:10">
      <c r="A330" s="3204">
        <v>329</v>
      </c>
      <c r="B330" s="3204">
        <v>6</v>
      </c>
      <c r="C330" s="3204">
        <v>2</v>
      </c>
      <c r="D330" s="3204">
        <v>2</v>
      </c>
      <c r="E330" s="3204">
        <v>201</v>
      </c>
      <c r="F330" s="3206" t="s">
        <v>404</v>
      </c>
      <c r="G330" s="3202" t="s">
        <v>3527</v>
      </c>
      <c r="H330" s="3202" t="s">
        <v>3448</v>
      </c>
      <c r="I330" s="3212">
        <v>82.34</v>
      </c>
      <c r="J330" s="3204">
        <v>1</v>
      </c>
    </row>
    <row r="331" spans="1:10">
      <c r="A331" s="3204">
        <v>330</v>
      </c>
      <c r="B331" s="3204">
        <v>6</v>
      </c>
      <c r="C331" s="3204">
        <v>2</v>
      </c>
      <c r="D331" s="3204">
        <v>2</v>
      </c>
      <c r="E331" s="3204">
        <v>202</v>
      </c>
      <c r="F331" s="3206" t="s">
        <v>409</v>
      </c>
      <c r="G331" s="3202" t="s">
        <v>3527</v>
      </c>
      <c r="H331" s="3202" t="s">
        <v>3532</v>
      </c>
      <c r="I331" s="3212">
        <v>85.39</v>
      </c>
      <c r="J331" s="3204">
        <v>1</v>
      </c>
    </row>
    <row r="332" spans="1:10">
      <c r="A332" s="3204">
        <v>331</v>
      </c>
      <c r="B332" s="3204">
        <v>6</v>
      </c>
      <c r="C332" s="3204">
        <v>2</v>
      </c>
      <c r="D332" s="3204">
        <v>2</v>
      </c>
      <c r="E332" s="3204">
        <v>203</v>
      </c>
      <c r="F332" s="3206" t="s">
        <v>403</v>
      </c>
      <c r="G332" s="3202" t="s">
        <v>3527</v>
      </c>
      <c r="H332" s="3202" t="s">
        <v>3448</v>
      </c>
      <c r="I332" s="3212">
        <v>85.78</v>
      </c>
      <c r="J332" s="3204">
        <v>1</v>
      </c>
    </row>
    <row r="333" spans="1:10">
      <c r="A333" s="3204">
        <v>332</v>
      </c>
      <c r="B333" s="3204">
        <v>6</v>
      </c>
      <c r="C333" s="3204">
        <v>2</v>
      </c>
      <c r="D333" s="3204">
        <v>3</v>
      </c>
      <c r="E333" s="3204">
        <v>301</v>
      </c>
      <c r="F333" s="3206" t="s">
        <v>404</v>
      </c>
      <c r="G333" s="3202" t="s">
        <v>3527</v>
      </c>
      <c r="H333" s="3202" t="s">
        <v>3448</v>
      </c>
      <c r="I333" s="3212">
        <v>82.34</v>
      </c>
      <c r="J333" s="3204">
        <v>1</v>
      </c>
    </row>
    <row r="334" spans="1:10">
      <c r="A334" s="3204">
        <v>333</v>
      </c>
      <c r="B334" s="3204">
        <v>6</v>
      </c>
      <c r="C334" s="3204">
        <v>2</v>
      </c>
      <c r="D334" s="3204">
        <v>3</v>
      </c>
      <c r="E334" s="3204">
        <v>302</v>
      </c>
      <c r="F334" s="3206" t="s">
        <v>409</v>
      </c>
      <c r="G334" s="3202" t="s">
        <v>3527</v>
      </c>
      <c r="H334" s="3202" t="s">
        <v>3532</v>
      </c>
      <c r="I334" s="3212">
        <v>85.39</v>
      </c>
      <c r="J334" s="3204">
        <v>1</v>
      </c>
    </row>
    <row r="335" spans="1:10">
      <c r="A335" s="3204">
        <v>334</v>
      </c>
      <c r="B335" s="3204">
        <v>6</v>
      </c>
      <c r="C335" s="3204">
        <v>2</v>
      </c>
      <c r="D335" s="3204">
        <v>3</v>
      </c>
      <c r="E335" s="3204">
        <v>303</v>
      </c>
      <c r="F335" s="3206" t="s">
        <v>403</v>
      </c>
      <c r="G335" s="3202" t="s">
        <v>3527</v>
      </c>
      <c r="H335" s="3202" t="s">
        <v>3448</v>
      </c>
      <c r="I335" s="3212">
        <v>85.78</v>
      </c>
      <c r="J335" s="3204">
        <v>1</v>
      </c>
    </row>
    <row r="336" spans="1:10">
      <c r="A336" s="3204">
        <v>335</v>
      </c>
      <c r="B336" s="3204">
        <v>6</v>
      </c>
      <c r="C336" s="3204">
        <v>2</v>
      </c>
      <c r="D336" s="3204">
        <v>4</v>
      </c>
      <c r="E336" s="3204">
        <v>401</v>
      </c>
      <c r="F336" s="3206" t="s">
        <v>404</v>
      </c>
      <c r="G336" s="3202" t="s">
        <v>3527</v>
      </c>
      <c r="H336" s="3202" t="s">
        <v>3448</v>
      </c>
      <c r="I336" s="3212">
        <v>82.34</v>
      </c>
      <c r="J336" s="3204">
        <v>1</v>
      </c>
    </row>
    <row r="337" spans="1:10">
      <c r="A337" s="3204">
        <v>336</v>
      </c>
      <c r="B337" s="3204">
        <v>6</v>
      </c>
      <c r="C337" s="3204">
        <v>2</v>
      </c>
      <c r="D337" s="3204">
        <v>4</v>
      </c>
      <c r="E337" s="3204">
        <v>402</v>
      </c>
      <c r="F337" s="3206" t="s">
        <v>409</v>
      </c>
      <c r="G337" s="3202" t="s">
        <v>3527</v>
      </c>
      <c r="H337" s="3202" t="s">
        <v>3532</v>
      </c>
      <c r="I337" s="3212">
        <v>85.39</v>
      </c>
      <c r="J337" s="3204">
        <v>1</v>
      </c>
    </row>
    <row r="338" spans="1:10">
      <c r="A338" s="3204">
        <v>337</v>
      </c>
      <c r="B338" s="3204">
        <v>6</v>
      </c>
      <c r="C338" s="3204">
        <v>2</v>
      </c>
      <c r="D338" s="3204">
        <v>4</v>
      </c>
      <c r="E338" s="3204">
        <v>403</v>
      </c>
      <c r="F338" s="3206" t="s">
        <v>403</v>
      </c>
      <c r="G338" s="3202" t="s">
        <v>3527</v>
      </c>
      <c r="H338" s="3202" t="s">
        <v>3448</v>
      </c>
      <c r="I338" s="3212">
        <v>85.78</v>
      </c>
      <c r="J338" s="3204">
        <v>1</v>
      </c>
    </row>
    <row r="339" spans="1:10">
      <c r="A339" s="3204">
        <v>338</v>
      </c>
      <c r="B339" s="3204">
        <v>6</v>
      </c>
      <c r="C339" s="3204">
        <v>2</v>
      </c>
      <c r="D339" s="3204">
        <v>5</v>
      </c>
      <c r="E339" s="3204">
        <v>501</v>
      </c>
      <c r="F339" s="3206" t="s">
        <v>404</v>
      </c>
      <c r="G339" s="3202" t="s">
        <v>3527</v>
      </c>
      <c r="H339" s="3202" t="s">
        <v>3448</v>
      </c>
      <c r="I339" s="3212">
        <v>82.34</v>
      </c>
      <c r="J339" s="3204">
        <v>1</v>
      </c>
    </row>
    <row r="340" spans="1:10">
      <c r="A340" s="3204">
        <v>339</v>
      </c>
      <c r="B340" s="3204">
        <v>6</v>
      </c>
      <c r="C340" s="3204">
        <v>2</v>
      </c>
      <c r="D340" s="3204">
        <v>5</v>
      </c>
      <c r="E340" s="3204">
        <v>502</v>
      </c>
      <c r="F340" s="3206" t="s">
        <v>409</v>
      </c>
      <c r="G340" s="3202" t="s">
        <v>3527</v>
      </c>
      <c r="H340" s="3202" t="s">
        <v>3532</v>
      </c>
      <c r="I340" s="3212">
        <v>85.39</v>
      </c>
      <c r="J340" s="3204">
        <v>1</v>
      </c>
    </row>
    <row r="341" spans="1:10">
      <c r="A341" s="3204">
        <v>340</v>
      </c>
      <c r="B341" s="3204">
        <v>6</v>
      </c>
      <c r="C341" s="3204">
        <v>2</v>
      </c>
      <c r="D341" s="3204">
        <v>5</v>
      </c>
      <c r="E341" s="3204">
        <v>503</v>
      </c>
      <c r="F341" s="3206" t="s">
        <v>403</v>
      </c>
      <c r="G341" s="3202" t="s">
        <v>3527</v>
      </c>
      <c r="H341" s="3202" t="s">
        <v>3448</v>
      </c>
      <c r="I341" s="3212">
        <v>85.78</v>
      </c>
      <c r="J341" s="3204">
        <v>1</v>
      </c>
    </row>
    <row r="342" spans="1:10">
      <c r="A342" s="3204">
        <v>341</v>
      </c>
      <c r="B342" s="3204">
        <v>6</v>
      </c>
      <c r="C342" s="3204">
        <v>2</v>
      </c>
      <c r="D342" s="3204">
        <v>6</v>
      </c>
      <c r="E342" s="3204">
        <v>601</v>
      </c>
      <c r="F342" s="3206" t="s">
        <v>404</v>
      </c>
      <c r="G342" s="3202" t="s">
        <v>3527</v>
      </c>
      <c r="H342" s="3202" t="s">
        <v>3448</v>
      </c>
      <c r="I342" s="3212">
        <v>82.34</v>
      </c>
      <c r="J342" s="3204">
        <v>1</v>
      </c>
    </row>
    <row r="343" spans="1:10">
      <c r="A343" s="3204">
        <v>342</v>
      </c>
      <c r="B343" s="3204">
        <v>6</v>
      </c>
      <c r="C343" s="3204">
        <v>2</v>
      </c>
      <c r="D343" s="3204">
        <v>6</v>
      </c>
      <c r="E343" s="3204">
        <v>602</v>
      </c>
      <c r="F343" s="3206" t="s">
        <v>409</v>
      </c>
      <c r="G343" s="3202" t="s">
        <v>3527</v>
      </c>
      <c r="H343" s="3202" t="s">
        <v>3532</v>
      </c>
      <c r="I343" s="3212">
        <v>85.39</v>
      </c>
      <c r="J343" s="3204">
        <v>1</v>
      </c>
    </row>
    <row r="344" spans="1:10">
      <c r="A344" s="3204">
        <v>343</v>
      </c>
      <c r="B344" s="3204">
        <v>6</v>
      </c>
      <c r="C344" s="3204">
        <v>2</v>
      </c>
      <c r="D344" s="3204">
        <v>6</v>
      </c>
      <c r="E344" s="3204">
        <v>603</v>
      </c>
      <c r="F344" s="3206" t="s">
        <v>403</v>
      </c>
      <c r="G344" s="3202" t="s">
        <v>3527</v>
      </c>
      <c r="H344" s="3202" t="s">
        <v>3448</v>
      </c>
      <c r="I344" s="3212">
        <v>85.78</v>
      </c>
      <c r="J344" s="3204">
        <v>1</v>
      </c>
    </row>
    <row r="345" spans="1:10">
      <c r="A345" s="3204">
        <v>344</v>
      </c>
      <c r="B345" s="3204">
        <v>6</v>
      </c>
      <c r="C345" s="3204">
        <v>3</v>
      </c>
      <c r="D345" s="3204">
        <v>1</v>
      </c>
      <c r="E345" s="3204">
        <v>101</v>
      </c>
      <c r="F345" s="3206" t="s">
        <v>3597</v>
      </c>
      <c r="G345" s="3202" t="s">
        <v>3585</v>
      </c>
      <c r="H345" s="3202" t="s">
        <v>3448</v>
      </c>
      <c r="I345" s="3212">
        <v>67.92</v>
      </c>
      <c r="J345" s="3204">
        <v>1</v>
      </c>
    </row>
    <row r="346" spans="1:10">
      <c r="A346" s="3204">
        <v>345</v>
      </c>
      <c r="B346" s="3204">
        <v>6</v>
      </c>
      <c r="C346" s="3204">
        <v>3</v>
      </c>
      <c r="D346" s="3204">
        <v>1</v>
      </c>
      <c r="E346" s="3204">
        <v>102</v>
      </c>
      <c r="F346" s="3206" t="s">
        <v>3539</v>
      </c>
      <c r="G346" s="3202" t="s">
        <v>3527</v>
      </c>
      <c r="H346" s="3202" t="s">
        <v>3532</v>
      </c>
      <c r="I346" s="3212">
        <v>85.39</v>
      </c>
      <c r="J346" s="3204">
        <v>1</v>
      </c>
    </row>
    <row r="347" spans="1:10">
      <c r="A347" s="3204">
        <v>346</v>
      </c>
      <c r="B347" s="3204">
        <v>6</v>
      </c>
      <c r="C347" s="3204">
        <v>3</v>
      </c>
      <c r="D347" s="3204">
        <v>1</v>
      </c>
      <c r="E347" s="3204">
        <v>103</v>
      </c>
      <c r="F347" s="3206" t="s">
        <v>3554</v>
      </c>
      <c r="G347" s="3202" t="s">
        <v>3527</v>
      </c>
      <c r="H347" s="3202" t="s">
        <v>3448</v>
      </c>
      <c r="I347" s="3212">
        <v>82.34</v>
      </c>
      <c r="J347" s="3204">
        <v>1</v>
      </c>
    </row>
    <row r="348" spans="1:10">
      <c r="A348" s="3204">
        <v>347</v>
      </c>
      <c r="B348" s="3204">
        <v>6</v>
      </c>
      <c r="C348" s="3204">
        <v>3</v>
      </c>
      <c r="D348" s="3204">
        <v>2</v>
      </c>
      <c r="E348" s="3204">
        <v>201</v>
      </c>
      <c r="F348" s="3206" t="s">
        <v>3568</v>
      </c>
      <c r="G348" s="3202" t="s">
        <v>3527</v>
      </c>
      <c r="H348" s="3202" t="s">
        <v>3448</v>
      </c>
      <c r="I348" s="3212">
        <v>85.78</v>
      </c>
      <c r="J348" s="3204">
        <v>1</v>
      </c>
    </row>
    <row r="349" spans="1:10">
      <c r="A349" s="3204">
        <v>348</v>
      </c>
      <c r="B349" s="3204">
        <v>6</v>
      </c>
      <c r="C349" s="3204">
        <v>3</v>
      </c>
      <c r="D349" s="3204">
        <v>2</v>
      </c>
      <c r="E349" s="3204">
        <v>202</v>
      </c>
      <c r="F349" s="3206" t="s">
        <v>3539</v>
      </c>
      <c r="G349" s="3202" t="s">
        <v>3527</v>
      </c>
      <c r="H349" s="3202" t="s">
        <v>3532</v>
      </c>
      <c r="I349" s="3212">
        <v>85.39</v>
      </c>
      <c r="J349" s="3204">
        <v>1</v>
      </c>
    </row>
    <row r="350" spans="1:10">
      <c r="A350" s="3204">
        <v>349</v>
      </c>
      <c r="B350" s="3204">
        <v>6</v>
      </c>
      <c r="C350" s="3204">
        <v>3</v>
      </c>
      <c r="D350" s="3204">
        <v>2</v>
      </c>
      <c r="E350" s="3204">
        <v>203</v>
      </c>
      <c r="F350" s="3206" t="s">
        <v>3554</v>
      </c>
      <c r="G350" s="3202" t="s">
        <v>3527</v>
      </c>
      <c r="H350" s="3202" t="s">
        <v>3448</v>
      </c>
      <c r="I350" s="3212">
        <v>82.34</v>
      </c>
      <c r="J350" s="3204">
        <v>1</v>
      </c>
    </row>
    <row r="351" spans="1:10">
      <c r="A351" s="3204">
        <v>350</v>
      </c>
      <c r="B351" s="3204">
        <v>6</v>
      </c>
      <c r="C351" s="3204">
        <v>3</v>
      </c>
      <c r="D351" s="3204">
        <v>3</v>
      </c>
      <c r="E351" s="3204">
        <v>301</v>
      </c>
      <c r="F351" s="3206" t="s">
        <v>3568</v>
      </c>
      <c r="G351" s="3202" t="s">
        <v>3527</v>
      </c>
      <c r="H351" s="3202" t="s">
        <v>3448</v>
      </c>
      <c r="I351" s="3212">
        <v>85.78</v>
      </c>
      <c r="J351" s="3204">
        <v>1</v>
      </c>
    </row>
    <row r="352" spans="1:10">
      <c r="A352" s="3204">
        <v>351</v>
      </c>
      <c r="B352" s="3204">
        <v>6</v>
      </c>
      <c r="C352" s="3204">
        <v>3</v>
      </c>
      <c r="D352" s="3204">
        <v>3</v>
      </c>
      <c r="E352" s="3204">
        <v>302</v>
      </c>
      <c r="F352" s="3206" t="s">
        <v>3539</v>
      </c>
      <c r="G352" s="3202" t="s">
        <v>3527</v>
      </c>
      <c r="H352" s="3202" t="s">
        <v>3532</v>
      </c>
      <c r="I352" s="3212">
        <v>85.39</v>
      </c>
      <c r="J352" s="3204">
        <v>1</v>
      </c>
    </row>
    <row r="353" spans="1:10">
      <c r="A353" s="3204">
        <v>352</v>
      </c>
      <c r="B353" s="3204">
        <v>6</v>
      </c>
      <c r="C353" s="3204">
        <v>3</v>
      </c>
      <c r="D353" s="3204">
        <v>3</v>
      </c>
      <c r="E353" s="3204">
        <v>303</v>
      </c>
      <c r="F353" s="3206" t="s">
        <v>3554</v>
      </c>
      <c r="G353" s="3202" t="s">
        <v>3527</v>
      </c>
      <c r="H353" s="3202" t="s">
        <v>3448</v>
      </c>
      <c r="I353" s="3212">
        <v>82.34</v>
      </c>
      <c r="J353" s="3204">
        <v>1</v>
      </c>
    </row>
    <row r="354" spans="1:10">
      <c r="A354" s="3204">
        <v>353</v>
      </c>
      <c r="B354" s="3204">
        <v>6</v>
      </c>
      <c r="C354" s="3204">
        <v>3</v>
      </c>
      <c r="D354" s="3204">
        <v>4</v>
      </c>
      <c r="E354" s="3204">
        <v>401</v>
      </c>
      <c r="F354" s="3206" t="s">
        <v>3568</v>
      </c>
      <c r="G354" s="3202" t="s">
        <v>3527</v>
      </c>
      <c r="H354" s="3202" t="s">
        <v>3448</v>
      </c>
      <c r="I354" s="3212">
        <v>85.78</v>
      </c>
      <c r="J354" s="3204">
        <v>1</v>
      </c>
    </row>
    <row r="355" spans="1:10">
      <c r="A355" s="3204">
        <v>354</v>
      </c>
      <c r="B355" s="3204">
        <v>6</v>
      </c>
      <c r="C355" s="3204">
        <v>3</v>
      </c>
      <c r="D355" s="3204">
        <v>4</v>
      </c>
      <c r="E355" s="3204">
        <v>402</v>
      </c>
      <c r="F355" s="3206" t="s">
        <v>3539</v>
      </c>
      <c r="G355" s="3202" t="s">
        <v>3527</v>
      </c>
      <c r="H355" s="3202" t="s">
        <v>3532</v>
      </c>
      <c r="I355" s="3212">
        <v>85.39</v>
      </c>
      <c r="J355" s="3204">
        <v>1</v>
      </c>
    </row>
    <row r="356" spans="1:10">
      <c r="A356" s="3204">
        <v>355</v>
      </c>
      <c r="B356" s="3204">
        <v>6</v>
      </c>
      <c r="C356" s="3204">
        <v>3</v>
      </c>
      <c r="D356" s="3204">
        <v>4</v>
      </c>
      <c r="E356" s="3204">
        <v>403</v>
      </c>
      <c r="F356" s="3206" t="s">
        <v>3554</v>
      </c>
      <c r="G356" s="3202" t="s">
        <v>3527</v>
      </c>
      <c r="H356" s="3202" t="s">
        <v>3448</v>
      </c>
      <c r="I356" s="3212">
        <v>82.34</v>
      </c>
      <c r="J356" s="3204">
        <v>1</v>
      </c>
    </row>
    <row r="357" spans="1:10">
      <c r="A357" s="3204">
        <v>356</v>
      </c>
      <c r="B357" s="3204">
        <v>6</v>
      </c>
      <c r="C357" s="3204">
        <v>3</v>
      </c>
      <c r="D357" s="3204">
        <v>5</v>
      </c>
      <c r="E357" s="3204">
        <v>501</v>
      </c>
      <c r="F357" s="3206" t="s">
        <v>3568</v>
      </c>
      <c r="G357" s="3202" t="s">
        <v>3527</v>
      </c>
      <c r="H357" s="3202" t="s">
        <v>3448</v>
      </c>
      <c r="I357" s="3212">
        <v>85.78</v>
      </c>
      <c r="J357" s="3204">
        <v>1</v>
      </c>
    </row>
    <row r="358" spans="1:10">
      <c r="A358" s="3204">
        <v>357</v>
      </c>
      <c r="B358" s="3204">
        <v>6</v>
      </c>
      <c r="C358" s="3204">
        <v>3</v>
      </c>
      <c r="D358" s="3204">
        <v>5</v>
      </c>
      <c r="E358" s="3204">
        <v>502</v>
      </c>
      <c r="F358" s="3206" t="s">
        <v>3539</v>
      </c>
      <c r="G358" s="3202" t="s">
        <v>3527</v>
      </c>
      <c r="H358" s="3202" t="s">
        <v>3532</v>
      </c>
      <c r="I358" s="3212">
        <v>85.39</v>
      </c>
      <c r="J358" s="3204">
        <v>1</v>
      </c>
    </row>
    <row r="359" spans="1:10">
      <c r="A359" s="3204">
        <v>358</v>
      </c>
      <c r="B359" s="3204">
        <v>6</v>
      </c>
      <c r="C359" s="3204">
        <v>3</v>
      </c>
      <c r="D359" s="3204">
        <v>5</v>
      </c>
      <c r="E359" s="3204">
        <v>503</v>
      </c>
      <c r="F359" s="3206" t="s">
        <v>3554</v>
      </c>
      <c r="G359" s="3202" t="s">
        <v>3527</v>
      </c>
      <c r="H359" s="3202" t="s">
        <v>3448</v>
      </c>
      <c r="I359" s="3212">
        <v>82.34</v>
      </c>
      <c r="J359" s="3204">
        <v>1</v>
      </c>
    </row>
    <row r="360" spans="1:10">
      <c r="A360" s="3204">
        <v>359</v>
      </c>
      <c r="B360" s="3204">
        <v>6</v>
      </c>
      <c r="C360" s="3204">
        <v>3</v>
      </c>
      <c r="D360" s="3204">
        <v>6</v>
      </c>
      <c r="E360" s="3204">
        <v>601</v>
      </c>
      <c r="F360" s="3206" t="s">
        <v>3568</v>
      </c>
      <c r="G360" s="3202" t="s">
        <v>3527</v>
      </c>
      <c r="H360" s="3202" t="s">
        <v>3448</v>
      </c>
      <c r="I360" s="3212">
        <v>85.78</v>
      </c>
      <c r="J360" s="3204">
        <v>1</v>
      </c>
    </row>
    <row r="361" spans="1:10">
      <c r="A361" s="3204">
        <v>360</v>
      </c>
      <c r="B361" s="3204">
        <v>6</v>
      </c>
      <c r="C361" s="3204">
        <v>3</v>
      </c>
      <c r="D361" s="3204">
        <v>6</v>
      </c>
      <c r="E361" s="3204">
        <v>602</v>
      </c>
      <c r="F361" s="3206" t="s">
        <v>3539</v>
      </c>
      <c r="G361" s="3202" t="s">
        <v>3527</v>
      </c>
      <c r="H361" s="3202" t="s">
        <v>3532</v>
      </c>
      <c r="I361" s="3212">
        <v>85.39</v>
      </c>
      <c r="J361" s="3204">
        <v>1</v>
      </c>
    </row>
    <row r="362" spans="1:10">
      <c r="A362" s="3204">
        <v>361</v>
      </c>
      <c r="B362" s="3204">
        <v>6</v>
      </c>
      <c r="C362" s="3204">
        <v>3</v>
      </c>
      <c r="D362" s="3204">
        <v>6</v>
      </c>
      <c r="E362" s="3204">
        <v>603</v>
      </c>
      <c r="F362" s="3206" t="s">
        <v>3554</v>
      </c>
      <c r="G362" s="3202" t="s">
        <v>3527</v>
      </c>
      <c r="H362" s="3202" t="s">
        <v>3448</v>
      </c>
      <c r="I362" s="3212">
        <v>82.34</v>
      </c>
      <c r="J362" s="3204">
        <v>1</v>
      </c>
    </row>
    <row r="363" spans="1:10">
      <c r="A363" s="3204">
        <v>362</v>
      </c>
      <c r="B363" s="3204">
        <v>6</v>
      </c>
      <c r="C363" s="3204">
        <v>4</v>
      </c>
      <c r="D363" s="3204">
        <v>1</v>
      </c>
      <c r="E363" s="3204">
        <v>101</v>
      </c>
      <c r="F363" s="3206" t="s">
        <v>404</v>
      </c>
      <c r="G363" s="3202" t="s">
        <v>3527</v>
      </c>
      <c r="H363" s="3202" t="s">
        <v>3448</v>
      </c>
      <c r="I363" s="3212">
        <v>82.34</v>
      </c>
      <c r="J363" s="3204">
        <v>1</v>
      </c>
    </row>
    <row r="364" spans="1:10">
      <c r="A364" s="3204">
        <v>363</v>
      </c>
      <c r="B364" s="3204">
        <v>6</v>
      </c>
      <c r="C364" s="3204">
        <v>4</v>
      </c>
      <c r="D364" s="3204">
        <v>1</v>
      </c>
      <c r="E364" s="3204">
        <v>102</v>
      </c>
      <c r="F364" s="3206" t="s">
        <v>409</v>
      </c>
      <c r="G364" s="3202" t="s">
        <v>3527</v>
      </c>
      <c r="H364" s="3202" t="s">
        <v>3532</v>
      </c>
      <c r="I364" s="3212">
        <v>85.39</v>
      </c>
      <c r="J364" s="3204">
        <v>1</v>
      </c>
    </row>
    <row r="365" spans="1:10">
      <c r="A365" s="3204">
        <v>364</v>
      </c>
      <c r="B365" s="3204">
        <v>6</v>
      </c>
      <c r="C365" s="3204">
        <v>4</v>
      </c>
      <c r="D365" s="3204">
        <v>1</v>
      </c>
      <c r="E365" s="3204">
        <v>103</v>
      </c>
      <c r="F365" s="3206" t="s">
        <v>3596</v>
      </c>
      <c r="G365" s="3202" t="s">
        <v>3585</v>
      </c>
      <c r="H365" s="3202" t="s">
        <v>3448</v>
      </c>
      <c r="I365" s="3212">
        <v>67.92</v>
      </c>
      <c r="J365" s="3204">
        <v>1</v>
      </c>
    </row>
    <row r="366" spans="1:10">
      <c r="A366" s="3204">
        <v>365</v>
      </c>
      <c r="B366" s="3204">
        <v>6</v>
      </c>
      <c r="C366" s="3204">
        <v>4</v>
      </c>
      <c r="D366" s="3204">
        <v>2</v>
      </c>
      <c r="E366" s="3204">
        <v>201</v>
      </c>
      <c r="F366" s="3206" t="s">
        <v>404</v>
      </c>
      <c r="G366" s="3202" t="s">
        <v>3527</v>
      </c>
      <c r="H366" s="3202" t="s">
        <v>3448</v>
      </c>
      <c r="I366" s="3212">
        <v>82.34</v>
      </c>
      <c r="J366" s="3204">
        <v>1</v>
      </c>
    </row>
    <row r="367" spans="1:10">
      <c r="A367" s="3204">
        <v>366</v>
      </c>
      <c r="B367" s="3204">
        <v>6</v>
      </c>
      <c r="C367" s="3204">
        <v>4</v>
      </c>
      <c r="D367" s="3204">
        <v>2</v>
      </c>
      <c r="E367" s="3204">
        <v>202</v>
      </c>
      <c r="F367" s="3206" t="s">
        <v>409</v>
      </c>
      <c r="G367" s="3202" t="s">
        <v>3527</v>
      </c>
      <c r="H367" s="3202" t="s">
        <v>3532</v>
      </c>
      <c r="I367" s="3212">
        <v>85.39</v>
      </c>
      <c r="J367" s="3204">
        <v>1</v>
      </c>
    </row>
    <row r="368" spans="1:10">
      <c r="A368" s="3204">
        <v>367</v>
      </c>
      <c r="B368" s="3204">
        <v>6</v>
      </c>
      <c r="C368" s="3204">
        <v>4</v>
      </c>
      <c r="D368" s="3204">
        <v>2</v>
      </c>
      <c r="E368" s="3204">
        <v>203</v>
      </c>
      <c r="F368" s="3206" t="s">
        <v>403</v>
      </c>
      <c r="G368" s="3202" t="s">
        <v>3527</v>
      </c>
      <c r="H368" s="3202" t="s">
        <v>3448</v>
      </c>
      <c r="I368" s="3212">
        <v>85.78</v>
      </c>
      <c r="J368" s="3204">
        <v>1</v>
      </c>
    </row>
    <row r="369" spans="1:10">
      <c r="A369" s="3204">
        <v>368</v>
      </c>
      <c r="B369" s="3204">
        <v>6</v>
      </c>
      <c r="C369" s="3204">
        <v>4</v>
      </c>
      <c r="D369" s="3204">
        <v>3</v>
      </c>
      <c r="E369" s="3204">
        <v>301</v>
      </c>
      <c r="F369" s="3206" t="s">
        <v>404</v>
      </c>
      <c r="G369" s="3202" t="s">
        <v>3527</v>
      </c>
      <c r="H369" s="3202" t="s">
        <v>3448</v>
      </c>
      <c r="I369" s="3212">
        <v>82.34</v>
      </c>
      <c r="J369" s="3204">
        <v>1</v>
      </c>
    </row>
    <row r="370" spans="1:10">
      <c r="A370" s="3204">
        <v>369</v>
      </c>
      <c r="B370" s="3204">
        <v>6</v>
      </c>
      <c r="C370" s="3204">
        <v>4</v>
      </c>
      <c r="D370" s="3204">
        <v>3</v>
      </c>
      <c r="E370" s="3204">
        <v>302</v>
      </c>
      <c r="F370" s="3206" t="s">
        <v>409</v>
      </c>
      <c r="G370" s="3202" t="s">
        <v>3527</v>
      </c>
      <c r="H370" s="3202" t="s">
        <v>3532</v>
      </c>
      <c r="I370" s="3212">
        <v>85.39</v>
      </c>
      <c r="J370" s="3204">
        <v>1</v>
      </c>
    </row>
    <row r="371" spans="1:10">
      <c r="A371" s="3204">
        <v>370</v>
      </c>
      <c r="B371" s="3204">
        <v>6</v>
      </c>
      <c r="C371" s="3204">
        <v>4</v>
      </c>
      <c r="D371" s="3204">
        <v>3</v>
      </c>
      <c r="E371" s="3204">
        <v>303</v>
      </c>
      <c r="F371" s="3206" t="s">
        <v>403</v>
      </c>
      <c r="G371" s="3202" t="s">
        <v>3527</v>
      </c>
      <c r="H371" s="3202" t="s">
        <v>3448</v>
      </c>
      <c r="I371" s="3212">
        <v>85.78</v>
      </c>
      <c r="J371" s="3204">
        <v>1</v>
      </c>
    </row>
    <row r="372" spans="1:10">
      <c r="A372" s="3204">
        <v>371</v>
      </c>
      <c r="B372" s="3204">
        <v>6</v>
      </c>
      <c r="C372" s="3204">
        <v>4</v>
      </c>
      <c r="D372" s="3204">
        <v>4</v>
      </c>
      <c r="E372" s="3204">
        <v>401</v>
      </c>
      <c r="F372" s="3206" t="s">
        <v>404</v>
      </c>
      <c r="G372" s="3202" t="s">
        <v>3527</v>
      </c>
      <c r="H372" s="3202" t="s">
        <v>3448</v>
      </c>
      <c r="I372" s="3212">
        <v>82.34</v>
      </c>
      <c r="J372" s="3204">
        <v>1</v>
      </c>
    </row>
    <row r="373" spans="1:10">
      <c r="A373" s="3204">
        <v>372</v>
      </c>
      <c r="B373" s="3204">
        <v>6</v>
      </c>
      <c r="C373" s="3204">
        <v>4</v>
      </c>
      <c r="D373" s="3204">
        <v>4</v>
      </c>
      <c r="E373" s="3204">
        <v>402</v>
      </c>
      <c r="F373" s="3206" t="s">
        <v>409</v>
      </c>
      <c r="G373" s="3202" t="s">
        <v>3527</v>
      </c>
      <c r="H373" s="3202" t="s">
        <v>3532</v>
      </c>
      <c r="I373" s="3212">
        <v>85.39</v>
      </c>
      <c r="J373" s="3204">
        <v>1</v>
      </c>
    </row>
    <row r="374" spans="1:10">
      <c r="A374" s="3204">
        <v>373</v>
      </c>
      <c r="B374" s="3204">
        <v>6</v>
      </c>
      <c r="C374" s="3204">
        <v>4</v>
      </c>
      <c r="D374" s="3204">
        <v>4</v>
      </c>
      <c r="E374" s="3204">
        <v>403</v>
      </c>
      <c r="F374" s="3206" t="s">
        <v>403</v>
      </c>
      <c r="G374" s="3202" t="s">
        <v>3527</v>
      </c>
      <c r="H374" s="3202" t="s">
        <v>3448</v>
      </c>
      <c r="I374" s="3212">
        <v>85.78</v>
      </c>
      <c r="J374" s="3204">
        <v>1</v>
      </c>
    </row>
    <row r="375" spans="1:10">
      <c r="A375" s="3204">
        <v>374</v>
      </c>
      <c r="B375" s="3204">
        <v>6</v>
      </c>
      <c r="C375" s="3204">
        <v>4</v>
      </c>
      <c r="D375" s="3204">
        <v>5</v>
      </c>
      <c r="E375" s="3204">
        <v>501</v>
      </c>
      <c r="F375" s="3206" t="s">
        <v>404</v>
      </c>
      <c r="G375" s="3202" t="s">
        <v>3527</v>
      </c>
      <c r="H375" s="3202" t="s">
        <v>3448</v>
      </c>
      <c r="I375" s="3212">
        <v>82.34</v>
      </c>
      <c r="J375" s="3204">
        <v>1</v>
      </c>
    </row>
    <row r="376" spans="1:10">
      <c r="A376" s="3204">
        <v>375</v>
      </c>
      <c r="B376" s="3204">
        <v>6</v>
      </c>
      <c r="C376" s="3204">
        <v>4</v>
      </c>
      <c r="D376" s="3204">
        <v>5</v>
      </c>
      <c r="E376" s="3204">
        <v>502</v>
      </c>
      <c r="F376" s="3206" t="s">
        <v>409</v>
      </c>
      <c r="G376" s="3202" t="s">
        <v>3527</v>
      </c>
      <c r="H376" s="3202" t="s">
        <v>3532</v>
      </c>
      <c r="I376" s="3212">
        <v>85.39</v>
      </c>
      <c r="J376" s="3204">
        <v>1</v>
      </c>
    </row>
    <row r="377" spans="1:10">
      <c r="A377" s="3204">
        <v>376</v>
      </c>
      <c r="B377" s="3204">
        <v>6</v>
      </c>
      <c r="C377" s="3204">
        <v>4</v>
      </c>
      <c r="D377" s="3204">
        <v>5</v>
      </c>
      <c r="E377" s="3204">
        <v>503</v>
      </c>
      <c r="F377" s="3206" t="s">
        <v>403</v>
      </c>
      <c r="G377" s="3202" t="s">
        <v>3527</v>
      </c>
      <c r="H377" s="3202" t="s">
        <v>3448</v>
      </c>
      <c r="I377" s="3212">
        <v>85.78</v>
      </c>
      <c r="J377" s="3204">
        <v>1</v>
      </c>
    </row>
    <row r="378" spans="1:10">
      <c r="A378" s="3204">
        <v>377</v>
      </c>
      <c r="B378" s="3204">
        <v>6</v>
      </c>
      <c r="C378" s="3204">
        <v>4</v>
      </c>
      <c r="D378" s="3204">
        <v>6</v>
      </c>
      <c r="E378" s="3204">
        <v>601</v>
      </c>
      <c r="F378" s="3206" t="s">
        <v>404</v>
      </c>
      <c r="G378" s="3202" t="s">
        <v>3527</v>
      </c>
      <c r="H378" s="3202" t="s">
        <v>3448</v>
      </c>
      <c r="I378" s="3212">
        <v>82.34</v>
      </c>
      <c r="J378" s="3204">
        <v>1</v>
      </c>
    </row>
    <row r="379" spans="1:10">
      <c r="A379" s="3204">
        <v>378</v>
      </c>
      <c r="B379" s="3204">
        <v>6</v>
      </c>
      <c r="C379" s="3204">
        <v>4</v>
      </c>
      <c r="D379" s="3204">
        <v>6</v>
      </c>
      <c r="E379" s="3204">
        <v>602</v>
      </c>
      <c r="F379" s="3206" t="s">
        <v>409</v>
      </c>
      <c r="G379" s="3202" t="s">
        <v>3527</v>
      </c>
      <c r="H379" s="3202" t="s">
        <v>3532</v>
      </c>
      <c r="I379" s="3212">
        <v>85.39</v>
      </c>
      <c r="J379" s="3204">
        <v>1</v>
      </c>
    </row>
    <row r="380" spans="1:10">
      <c r="A380" s="3204">
        <v>379</v>
      </c>
      <c r="B380" s="3204">
        <v>6</v>
      </c>
      <c r="C380" s="3204">
        <v>4</v>
      </c>
      <c r="D380" s="3204">
        <v>6</v>
      </c>
      <c r="E380" s="3204">
        <v>603</v>
      </c>
      <c r="F380" s="3206" t="s">
        <v>403</v>
      </c>
      <c r="G380" s="3202" t="s">
        <v>3527</v>
      </c>
      <c r="H380" s="3202" t="s">
        <v>3448</v>
      </c>
      <c r="I380" s="3212">
        <v>85.78</v>
      </c>
      <c r="J380" s="3204">
        <v>1</v>
      </c>
    </row>
    <row r="381" spans="1:10">
      <c r="A381" s="3204">
        <v>380</v>
      </c>
      <c r="B381" s="3204">
        <v>6</v>
      </c>
      <c r="C381" s="3204">
        <v>5</v>
      </c>
      <c r="D381" s="3204">
        <v>1</v>
      </c>
      <c r="E381" s="3204">
        <v>101</v>
      </c>
      <c r="F381" s="3206" t="s">
        <v>3597</v>
      </c>
      <c r="G381" s="3202" t="s">
        <v>3585</v>
      </c>
      <c r="H381" s="3202" t="s">
        <v>3448</v>
      </c>
      <c r="I381" s="3212">
        <v>67.92</v>
      </c>
      <c r="J381" s="3204">
        <v>1</v>
      </c>
    </row>
    <row r="382" spans="1:10">
      <c r="A382" s="3204">
        <v>381</v>
      </c>
      <c r="B382" s="3204">
        <v>6</v>
      </c>
      <c r="C382" s="3204">
        <v>5</v>
      </c>
      <c r="D382" s="3204">
        <v>1</v>
      </c>
      <c r="E382" s="3204">
        <v>102</v>
      </c>
      <c r="F382" s="3206" t="s">
        <v>3539</v>
      </c>
      <c r="G382" s="3202" t="s">
        <v>3527</v>
      </c>
      <c r="H382" s="3202" t="s">
        <v>3532</v>
      </c>
      <c r="I382" s="3212">
        <v>85.39</v>
      </c>
      <c r="J382" s="3204">
        <v>1</v>
      </c>
    </row>
    <row r="383" spans="1:10">
      <c r="A383" s="3204">
        <v>382</v>
      </c>
      <c r="B383" s="3204">
        <v>6</v>
      </c>
      <c r="C383" s="3204">
        <v>5</v>
      </c>
      <c r="D383" s="3204">
        <v>1</v>
      </c>
      <c r="E383" s="3204">
        <v>103</v>
      </c>
      <c r="F383" s="3206" t="s">
        <v>3554</v>
      </c>
      <c r="G383" s="3202" t="s">
        <v>3527</v>
      </c>
      <c r="H383" s="3202" t="s">
        <v>3448</v>
      </c>
      <c r="I383" s="3212">
        <v>83.07</v>
      </c>
      <c r="J383" s="3204">
        <v>1</v>
      </c>
    </row>
    <row r="384" spans="1:10">
      <c r="A384" s="3204">
        <v>383</v>
      </c>
      <c r="B384" s="3204">
        <v>6</v>
      </c>
      <c r="C384" s="3204">
        <v>5</v>
      </c>
      <c r="D384" s="3204">
        <v>2</v>
      </c>
      <c r="E384" s="3204">
        <v>201</v>
      </c>
      <c r="F384" s="3206" t="s">
        <v>3568</v>
      </c>
      <c r="G384" s="3202" t="s">
        <v>3527</v>
      </c>
      <c r="H384" s="3202" t="s">
        <v>3448</v>
      </c>
      <c r="I384" s="3212">
        <v>85.78</v>
      </c>
      <c r="J384" s="3204">
        <v>1</v>
      </c>
    </row>
    <row r="385" spans="1:10">
      <c r="A385" s="3204">
        <v>384</v>
      </c>
      <c r="B385" s="3204">
        <v>6</v>
      </c>
      <c r="C385" s="3204">
        <v>5</v>
      </c>
      <c r="D385" s="3204">
        <v>2</v>
      </c>
      <c r="E385" s="3204">
        <v>202</v>
      </c>
      <c r="F385" s="3206" t="s">
        <v>3539</v>
      </c>
      <c r="G385" s="3202" t="s">
        <v>3527</v>
      </c>
      <c r="H385" s="3202" t="s">
        <v>3532</v>
      </c>
      <c r="I385" s="3212">
        <v>85.39</v>
      </c>
      <c r="J385" s="3204">
        <v>1</v>
      </c>
    </row>
    <row r="386" spans="1:10">
      <c r="A386" s="3204">
        <v>385</v>
      </c>
      <c r="B386" s="3204">
        <v>6</v>
      </c>
      <c r="C386" s="3204">
        <v>5</v>
      </c>
      <c r="D386" s="3204">
        <v>2</v>
      </c>
      <c r="E386" s="3204">
        <v>203</v>
      </c>
      <c r="F386" s="3206" t="s">
        <v>3554</v>
      </c>
      <c r="G386" s="3202" t="s">
        <v>3527</v>
      </c>
      <c r="H386" s="3202" t="s">
        <v>3448</v>
      </c>
      <c r="I386" s="3212">
        <v>83.07</v>
      </c>
      <c r="J386" s="3204">
        <v>1</v>
      </c>
    </row>
    <row r="387" spans="1:10">
      <c r="A387" s="3204">
        <v>386</v>
      </c>
      <c r="B387" s="3204">
        <v>6</v>
      </c>
      <c r="C387" s="3204">
        <v>5</v>
      </c>
      <c r="D387" s="3204">
        <v>3</v>
      </c>
      <c r="E387" s="3204">
        <v>301</v>
      </c>
      <c r="F387" s="3206" t="s">
        <v>3568</v>
      </c>
      <c r="G387" s="3202" t="s">
        <v>3527</v>
      </c>
      <c r="H387" s="3202" t="s">
        <v>3448</v>
      </c>
      <c r="I387" s="3212">
        <v>85.78</v>
      </c>
      <c r="J387" s="3204">
        <v>1</v>
      </c>
    </row>
    <row r="388" spans="1:10">
      <c r="A388" s="3204">
        <v>387</v>
      </c>
      <c r="B388" s="3204">
        <v>6</v>
      </c>
      <c r="C388" s="3204">
        <v>5</v>
      </c>
      <c r="D388" s="3204">
        <v>3</v>
      </c>
      <c r="E388" s="3204">
        <v>302</v>
      </c>
      <c r="F388" s="3206" t="s">
        <v>3539</v>
      </c>
      <c r="G388" s="3202" t="s">
        <v>3527</v>
      </c>
      <c r="H388" s="3202" t="s">
        <v>3532</v>
      </c>
      <c r="I388" s="3212">
        <v>85.39</v>
      </c>
      <c r="J388" s="3204">
        <v>1</v>
      </c>
    </row>
    <row r="389" spans="1:10">
      <c r="A389" s="3204">
        <v>388</v>
      </c>
      <c r="B389" s="3204">
        <v>6</v>
      </c>
      <c r="C389" s="3204">
        <v>5</v>
      </c>
      <c r="D389" s="3204">
        <v>3</v>
      </c>
      <c r="E389" s="3204">
        <v>303</v>
      </c>
      <c r="F389" s="3206" t="s">
        <v>3554</v>
      </c>
      <c r="G389" s="3202" t="s">
        <v>3527</v>
      </c>
      <c r="H389" s="3202" t="s">
        <v>3448</v>
      </c>
      <c r="I389" s="3212">
        <v>83.07</v>
      </c>
      <c r="J389" s="3204">
        <v>1</v>
      </c>
    </row>
    <row r="390" spans="1:10">
      <c r="A390" s="3204">
        <v>389</v>
      </c>
      <c r="B390" s="3204">
        <v>6</v>
      </c>
      <c r="C390" s="3204">
        <v>5</v>
      </c>
      <c r="D390" s="3204">
        <v>4</v>
      </c>
      <c r="E390" s="3204">
        <v>401</v>
      </c>
      <c r="F390" s="3206" t="s">
        <v>3568</v>
      </c>
      <c r="G390" s="3202" t="s">
        <v>3527</v>
      </c>
      <c r="H390" s="3202" t="s">
        <v>3448</v>
      </c>
      <c r="I390" s="3212">
        <v>85.78</v>
      </c>
      <c r="J390" s="3204">
        <v>1</v>
      </c>
    </row>
    <row r="391" spans="1:10">
      <c r="A391" s="3204">
        <v>390</v>
      </c>
      <c r="B391" s="3204">
        <v>6</v>
      </c>
      <c r="C391" s="3204">
        <v>5</v>
      </c>
      <c r="D391" s="3204">
        <v>4</v>
      </c>
      <c r="E391" s="3204">
        <v>402</v>
      </c>
      <c r="F391" s="3206" t="s">
        <v>3539</v>
      </c>
      <c r="G391" s="3202" t="s">
        <v>3527</v>
      </c>
      <c r="H391" s="3202" t="s">
        <v>3532</v>
      </c>
      <c r="I391" s="3212">
        <v>85.39</v>
      </c>
      <c r="J391" s="3204">
        <v>1</v>
      </c>
    </row>
    <row r="392" spans="1:10">
      <c r="A392" s="3204">
        <v>391</v>
      </c>
      <c r="B392" s="3204">
        <v>6</v>
      </c>
      <c r="C392" s="3204">
        <v>5</v>
      </c>
      <c r="D392" s="3204">
        <v>4</v>
      </c>
      <c r="E392" s="3204">
        <v>403</v>
      </c>
      <c r="F392" s="3206" t="s">
        <v>3554</v>
      </c>
      <c r="G392" s="3202" t="s">
        <v>3527</v>
      </c>
      <c r="H392" s="3202" t="s">
        <v>3448</v>
      </c>
      <c r="I392" s="3212">
        <v>83.07</v>
      </c>
      <c r="J392" s="3204">
        <v>1</v>
      </c>
    </row>
    <row r="393" spans="1:10">
      <c r="A393" s="3204">
        <v>392</v>
      </c>
      <c r="B393" s="3204">
        <v>6</v>
      </c>
      <c r="C393" s="3204">
        <v>5</v>
      </c>
      <c r="D393" s="3204">
        <v>5</v>
      </c>
      <c r="E393" s="3204">
        <v>501</v>
      </c>
      <c r="F393" s="3206" t="s">
        <v>3568</v>
      </c>
      <c r="G393" s="3202" t="s">
        <v>3527</v>
      </c>
      <c r="H393" s="3202" t="s">
        <v>3448</v>
      </c>
      <c r="I393" s="3212">
        <v>85.78</v>
      </c>
      <c r="J393" s="3204">
        <v>1</v>
      </c>
    </row>
    <row r="394" spans="1:10">
      <c r="A394" s="3204">
        <v>393</v>
      </c>
      <c r="B394" s="3204">
        <v>6</v>
      </c>
      <c r="C394" s="3204">
        <v>5</v>
      </c>
      <c r="D394" s="3204">
        <v>5</v>
      </c>
      <c r="E394" s="3204">
        <v>502</v>
      </c>
      <c r="F394" s="3206" t="s">
        <v>3539</v>
      </c>
      <c r="G394" s="3202" t="s">
        <v>3527</v>
      </c>
      <c r="H394" s="3202" t="s">
        <v>3532</v>
      </c>
      <c r="I394" s="3212">
        <v>85.39</v>
      </c>
      <c r="J394" s="3204">
        <v>1</v>
      </c>
    </row>
    <row r="395" spans="1:10">
      <c r="A395" s="3204">
        <v>394</v>
      </c>
      <c r="B395" s="3204">
        <v>6</v>
      </c>
      <c r="C395" s="3204">
        <v>5</v>
      </c>
      <c r="D395" s="3204">
        <v>5</v>
      </c>
      <c r="E395" s="3204">
        <v>503</v>
      </c>
      <c r="F395" s="3206" t="s">
        <v>3554</v>
      </c>
      <c r="G395" s="3202" t="s">
        <v>3527</v>
      </c>
      <c r="H395" s="3202" t="s">
        <v>3448</v>
      </c>
      <c r="I395" s="3212">
        <v>83.07</v>
      </c>
      <c r="J395" s="3204">
        <v>1</v>
      </c>
    </row>
    <row r="396" spans="1:10">
      <c r="A396" s="3204">
        <v>395</v>
      </c>
      <c r="B396" s="3204">
        <v>6</v>
      </c>
      <c r="C396" s="3204">
        <v>5</v>
      </c>
      <c r="D396" s="3204">
        <v>6</v>
      </c>
      <c r="E396" s="3204">
        <v>601</v>
      </c>
      <c r="F396" s="3206" t="s">
        <v>3568</v>
      </c>
      <c r="G396" s="3202" t="s">
        <v>3527</v>
      </c>
      <c r="H396" s="3202" t="s">
        <v>3448</v>
      </c>
      <c r="I396" s="3212">
        <v>85.78</v>
      </c>
      <c r="J396" s="3204">
        <v>1</v>
      </c>
    </row>
    <row r="397" spans="1:10">
      <c r="A397" s="3204">
        <v>396</v>
      </c>
      <c r="B397" s="3204">
        <v>6</v>
      </c>
      <c r="C397" s="3204">
        <v>5</v>
      </c>
      <c r="D397" s="3204">
        <v>6</v>
      </c>
      <c r="E397" s="3204">
        <v>602</v>
      </c>
      <c r="F397" s="3206" t="s">
        <v>3539</v>
      </c>
      <c r="G397" s="3202" t="s">
        <v>3527</v>
      </c>
      <c r="H397" s="3202" t="s">
        <v>3532</v>
      </c>
      <c r="I397" s="3212">
        <v>85.39</v>
      </c>
      <c r="J397" s="3204">
        <v>1</v>
      </c>
    </row>
    <row r="398" spans="1:10">
      <c r="A398" s="3204">
        <v>397</v>
      </c>
      <c r="B398" s="3204">
        <v>6</v>
      </c>
      <c r="C398" s="3204">
        <v>5</v>
      </c>
      <c r="D398" s="3204">
        <v>6</v>
      </c>
      <c r="E398" s="3204">
        <v>603</v>
      </c>
      <c r="F398" s="3206" t="s">
        <v>3554</v>
      </c>
      <c r="G398" s="3202" t="s">
        <v>3527</v>
      </c>
      <c r="H398" s="3202" t="s">
        <v>3448</v>
      </c>
      <c r="I398" s="3212">
        <v>83.07</v>
      </c>
      <c r="J398" s="3204">
        <v>1</v>
      </c>
    </row>
    <row r="399" spans="1:10">
      <c r="A399" s="3204">
        <v>398</v>
      </c>
      <c r="B399" s="3204">
        <v>2</v>
      </c>
      <c r="C399" s="3204">
        <v>1</v>
      </c>
      <c r="D399" s="3204">
        <v>1</v>
      </c>
      <c r="E399" s="3204">
        <v>101</v>
      </c>
      <c r="F399" s="3206" t="s">
        <v>404</v>
      </c>
      <c r="G399" s="3202" t="s">
        <v>3527</v>
      </c>
      <c r="H399" s="3202" t="s">
        <v>3547</v>
      </c>
      <c r="I399" s="3212">
        <v>85.02</v>
      </c>
      <c r="J399" s="3204">
        <v>1</v>
      </c>
    </row>
    <row r="400" spans="1:10">
      <c r="A400" s="3204">
        <v>399</v>
      </c>
      <c r="B400" s="3204">
        <v>2</v>
      </c>
      <c r="C400" s="3204">
        <v>1</v>
      </c>
      <c r="D400" s="3204">
        <v>1</v>
      </c>
      <c r="E400" s="3204">
        <v>102</v>
      </c>
      <c r="F400" s="3206" t="s">
        <v>409</v>
      </c>
      <c r="G400" s="3202" t="s">
        <v>3527</v>
      </c>
      <c r="H400" s="3202" t="s">
        <v>3536</v>
      </c>
      <c r="I400" s="3212">
        <v>88.02</v>
      </c>
      <c r="J400" s="3204">
        <v>1</v>
      </c>
    </row>
    <row r="401" spans="1:10">
      <c r="A401" s="3204">
        <v>400</v>
      </c>
      <c r="B401" s="3204">
        <v>2</v>
      </c>
      <c r="C401" s="3204">
        <v>1</v>
      </c>
      <c r="D401" s="3204">
        <v>1</v>
      </c>
      <c r="E401" s="3204">
        <v>103</v>
      </c>
      <c r="F401" s="3206" t="s">
        <v>3592</v>
      </c>
      <c r="G401" s="3202" t="s">
        <v>3585</v>
      </c>
      <c r="H401" s="3202" t="s">
        <v>3532</v>
      </c>
      <c r="I401" s="3212">
        <v>73.010000000000005</v>
      </c>
      <c r="J401" s="3204">
        <v>1</v>
      </c>
    </row>
    <row r="402" spans="1:10">
      <c r="A402" s="3204">
        <v>401</v>
      </c>
      <c r="B402" s="3204">
        <v>2</v>
      </c>
      <c r="C402" s="3204">
        <v>1</v>
      </c>
      <c r="D402" s="3204">
        <v>2</v>
      </c>
      <c r="E402" s="3204">
        <v>201</v>
      </c>
      <c r="F402" s="3206" t="s">
        <v>404</v>
      </c>
      <c r="G402" s="3202" t="s">
        <v>3527</v>
      </c>
      <c r="H402" s="3202" t="s">
        <v>3547</v>
      </c>
      <c r="I402" s="3212">
        <v>85.02</v>
      </c>
      <c r="J402" s="3204">
        <v>1</v>
      </c>
    </row>
    <row r="403" spans="1:10">
      <c r="A403" s="3204">
        <v>402</v>
      </c>
      <c r="B403" s="3204">
        <v>2</v>
      </c>
      <c r="C403" s="3204">
        <v>1</v>
      </c>
      <c r="D403" s="3204">
        <v>2</v>
      </c>
      <c r="E403" s="3204">
        <v>202</v>
      </c>
      <c r="F403" s="3206" t="s">
        <v>409</v>
      </c>
      <c r="G403" s="3202" t="s">
        <v>3527</v>
      </c>
      <c r="H403" s="3202" t="s">
        <v>3536</v>
      </c>
      <c r="I403" s="3212">
        <v>88.02</v>
      </c>
      <c r="J403" s="3204">
        <v>1</v>
      </c>
    </row>
    <row r="404" spans="1:10">
      <c r="A404" s="3204">
        <v>403</v>
      </c>
      <c r="B404" s="3204">
        <v>2</v>
      </c>
      <c r="C404" s="3204">
        <v>1</v>
      </c>
      <c r="D404" s="3204">
        <v>2</v>
      </c>
      <c r="E404" s="3204">
        <v>203</v>
      </c>
      <c r="F404" s="3206" t="s">
        <v>3567</v>
      </c>
      <c r="G404" s="3202" t="s">
        <v>3527</v>
      </c>
      <c r="H404" s="3202" t="s">
        <v>3532</v>
      </c>
      <c r="I404" s="3212">
        <v>89.17</v>
      </c>
      <c r="J404" s="3204">
        <v>1</v>
      </c>
    </row>
    <row r="405" spans="1:10">
      <c r="A405" s="3204">
        <v>404</v>
      </c>
      <c r="B405" s="3204">
        <v>2</v>
      </c>
      <c r="C405" s="3204">
        <v>1</v>
      </c>
      <c r="D405" s="3204">
        <v>3</v>
      </c>
      <c r="E405" s="3204">
        <v>301</v>
      </c>
      <c r="F405" s="3206" t="s">
        <v>404</v>
      </c>
      <c r="G405" s="3202" t="s">
        <v>3527</v>
      </c>
      <c r="H405" s="3202" t="s">
        <v>3547</v>
      </c>
      <c r="I405" s="3212">
        <v>85.02</v>
      </c>
      <c r="J405" s="3204">
        <v>1</v>
      </c>
    </row>
    <row r="406" spans="1:10">
      <c r="A406" s="3204">
        <v>405</v>
      </c>
      <c r="B406" s="3204">
        <v>2</v>
      </c>
      <c r="C406" s="3204">
        <v>1</v>
      </c>
      <c r="D406" s="3204">
        <v>3</v>
      </c>
      <c r="E406" s="3204">
        <v>302</v>
      </c>
      <c r="F406" s="3206" t="s">
        <v>409</v>
      </c>
      <c r="G406" s="3202" t="s">
        <v>3527</v>
      </c>
      <c r="H406" s="3202" t="s">
        <v>3536</v>
      </c>
      <c r="I406" s="3212">
        <v>88.02</v>
      </c>
      <c r="J406" s="3204">
        <v>1</v>
      </c>
    </row>
    <row r="407" spans="1:10">
      <c r="A407" s="3204">
        <v>406</v>
      </c>
      <c r="B407" s="3204">
        <v>2</v>
      </c>
      <c r="C407" s="3204">
        <v>1</v>
      </c>
      <c r="D407" s="3204">
        <v>3</v>
      </c>
      <c r="E407" s="3204">
        <v>303</v>
      </c>
      <c r="F407" s="3206" t="s">
        <v>3567</v>
      </c>
      <c r="G407" s="3202" t="s">
        <v>3527</v>
      </c>
      <c r="H407" s="3202" t="s">
        <v>3532</v>
      </c>
      <c r="I407" s="3212">
        <v>89.17</v>
      </c>
      <c r="J407" s="3204">
        <v>1</v>
      </c>
    </row>
    <row r="408" spans="1:10">
      <c r="A408" s="3204">
        <v>407</v>
      </c>
      <c r="B408" s="3204">
        <v>2</v>
      </c>
      <c r="C408" s="3204">
        <v>1</v>
      </c>
      <c r="D408" s="3204">
        <v>4</v>
      </c>
      <c r="E408" s="3204">
        <v>401</v>
      </c>
      <c r="F408" s="3206" t="s">
        <v>404</v>
      </c>
      <c r="G408" s="3202" t="s">
        <v>3527</v>
      </c>
      <c r="H408" s="3202" t="s">
        <v>3547</v>
      </c>
      <c r="I408" s="3212">
        <v>85.02</v>
      </c>
      <c r="J408" s="3204">
        <v>1</v>
      </c>
    </row>
    <row r="409" spans="1:10">
      <c r="A409" s="3204">
        <v>408</v>
      </c>
      <c r="B409" s="3204">
        <v>2</v>
      </c>
      <c r="C409" s="3204">
        <v>1</v>
      </c>
      <c r="D409" s="3204">
        <v>4</v>
      </c>
      <c r="E409" s="3204">
        <v>402</v>
      </c>
      <c r="F409" s="3206" t="s">
        <v>409</v>
      </c>
      <c r="G409" s="3202" t="s">
        <v>3527</v>
      </c>
      <c r="H409" s="3202" t="s">
        <v>3536</v>
      </c>
      <c r="I409" s="3212">
        <v>88.02</v>
      </c>
      <c r="J409" s="3204">
        <v>1</v>
      </c>
    </row>
    <row r="410" spans="1:10">
      <c r="A410" s="3204">
        <v>409</v>
      </c>
      <c r="B410" s="3204">
        <v>2</v>
      </c>
      <c r="C410" s="3204">
        <v>1</v>
      </c>
      <c r="D410" s="3204">
        <v>4</v>
      </c>
      <c r="E410" s="3204">
        <v>403</v>
      </c>
      <c r="F410" s="3206" t="s">
        <v>3567</v>
      </c>
      <c r="G410" s="3202" t="s">
        <v>3527</v>
      </c>
      <c r="H410" s="3202" t="s">
        <v>3532</v>
      </c>
      <c r="I410" s="3212">
        <v>89.17</v>
      </c>
      <c r="J410" s="3204">
        <v>1</v>
      </c>
    </row>
    <row r="411" spans="1:10">
      <c r="A411" s="3204">
        <v>410</v>
      </c>
      <c r="B411" s="3204">
        <v>2</v>
      </c>
      <c r="C411" s="3204">
        <v>1</v>
      </c>
      <c r="D411" s="3204">
        <v>5</v>
      </c>
      <c r="E411" s="3204">
        <v>501</v>
      </c>
      <c r="F411" s="3206" t="s">
        <v>404</v>
      </c>
      <c r="G411" s="3202" t="s">
        <v>3527</v>
      </c>
      <c r="H411" s="3202" t="s">
        <v>3547</v>
      </c>
      <c r="I411" s="3212">
        <v>85.02</v>
      </c>
      <c r="J411" s="3204">
        <v>1</v>
      </c>
    </row>
    <row r="412" spans="1:10">
      <c r="A412" s="3204">
        <v>411</v>
      </c>
      <c r="B412" s="3204">
        <v>2</v>
      </c>
      <c r="C412" s="3204">
        <v>1</v>
      </c>
      <c r="D412" s="3204">
        <v>5</v>
      </c>
      <c r="E412" s="3204">
        <v>502</v>
      </c>
      <c r="F412" s="3206" t="s">
        <v>409</v>
      </c>
      <c r="G412" s="3202" t="s">
        <v>3527</v>
      </c>
      <c r="H412" s="3202" t="s">
        <v>3536</v>
      </c>
      <c r="I412" s="3212">
        <v>88.02</v>
      </c>
      <c r="J412" s="3204">
        <v>1</v>
      </c>
    </row>
    <row r="413" spans="1:10">
      <c r="A413" s="3204">
        <v>412</v>
      </c>
      <c r="B413" s="3204">
        <v>2</v>
      </c>
      <c r="C413" s="3204">
        <v>1</v>
      </c>
      <c r="D413" s="3204">
        <v>5</v>
      </c>
      <c r="E413" s="3204">
        <v>503</v>
      </c>
      <c r="F413" s="3206" t="s">
        <v>3567</v>
      </c>
      <c r="G413" s="3202" t="s">
        <v>3527</v>
      </c>
      <c r="H413" s="3202" t="s">
        <v>3532</v>
      </c>
      <c r="I413" s="3212">
        <v>89.17</v>
      </c>
      <c r="J413" s="3204">
        <v>1</v>
      </c>
    </row>
    <row r="414" spans="1:10">
      <c r="A414" s="3204">
        <v>413</v>
      </c>
      <c r="B414" s="3204">
        <v>2</v>
      </c>
      <c r="C414" s="3204">
        <v>1</v>
      </c>
      <c r="D414" s="3204">
        <v>6</v>
      </c>
      <c r="E414" s="3204">
        <v>601</v>
      </c>
      <c r="F414" s="3206" t="s">
        <v>404</v>
      </c>
      <c r="G414" s="3202" t="s">
        <v>3527</v>
      </c>
      <c r="H414" s="3202" t="s">
        <v>3547</v>
      </c>
      <c r="I414" s="3212">
        <v>85.02</v>
      </c>
      <c r="J414" s="3204">
        <v>1</v>
      </c>
    </row>
    <row r="415" spans="1:10">
      <c r="A415" s="3204">
        <v>414</v>
      </c>
      <c r="B415" s="3204">
        <v>2</v>
      </c>
      <c r="C415" s="3204">
        <v>1</v>
      </c>
      <c r="D415" s="3204">
        <v>6</v>
      </c>
      <c r="E415" s="3204">
        <v>602</v>
      </c>
      <c r="F415" s="3206" t="s">
        <v>409</v>
      </c>
      <c r="G415" s="3202" t="s">
        <v>3527</v>
      </c>
      <c r="H415" s="3202" t="s">
        <v>3536</v>
      </c>
      <c r="I415" s="3212">
        <v>88.02</v>
      </c>
      <c r="J415" s="3204">
        <v>1</v>
      </c>
    </row>
    <row r="416" spans="1:10">
      <c r="A416" s="3204">
        <v>415</v>
      </c>
      <c r="B416" s="3204">
        <v>2</v>
      </c>
      <c r="C416" s="3204">
        <v>1</v>
      </c>
      <c r="D416" s="3204">
        <v>6</v>
      </c>
      <c r="E416" s="3204">
        <v>603</v>
      </c>
      <c r="F416" s="3206" t="s">
        <v>3567</v>
      </c>
      <c r="G416" s="3202" t="s">
        <v>3527</v>
      </c>
      <c r="H416" s="3202" t="s">
        <v>3532</v>
      </c>
      <c r="I416" s="3212">
        <v>89.17</v>
      </c>
      <c r="J416" s="3204">
        <v>1</v>
      </c>
    </row>
    <row r="417" spans="1:10">
      <c r="A417" s="3204">
        <v>416</v>
      </c>
      <c r="B417" s="3204">
        <v>2</v>
      </c>
      <c r="C417" s="3204">
        <v>2</v>
      </c>
      <c r="D417" s="3204">
        <v>2</v>
      </c>
      <c r="E417" s="3204">
        <v>201</v>
      </c>
      <c r="F417" s="3206" t="s">
        <v>3573</v>
      </c>
      <c r="G417" s="3202" t="s">
        <v>3527</v>
      </c>
      <c r="H417" s="3202" t="s">
        <v>3448</v>
      </c>
      <c r="I417" s="3212">
        <v>76.3</v>
      </c>
      <c r="J417" s="3204">
        <v>1</v>
      </c>
    </row>
    <row r="418" spans="1:10">
      <c r="A418" s="3204">
        <v>417</v>
      </c>
      <c r="B418" s="3204">
        <v>2</v>
      </c>
      <c r="C418" s="3204">
        <v>2</v>
      </c>
      <c r="D418" s="3204">
        <v>2</v>
      </c>
      <c r="E418" s="3204">
        <v>202</v>
      </c>
      <c r="F418" s="3206" t="s">
        <v>3545</v>
      </c>
      <c r="G418" s="3202" t="s">
        <v>3527</v>
      </c>
      <c r="H418" s="3202" t="s">
        <v>3543</v>
      </c>
      <c r="I418" s="3212">
        <v>68.400000000000006</v>
      </c>
      <c r="J418" s="3204">
        <v>1</v>
      </c>
    </row>
    <row r="419" spans="1:10">
      <c r="A419" s="3204">
        <v>418</v>
      </c>
      <c r="B419" s="3204">
        <v>2</v>
      </c>
      <c r="C419" s="3204">
        <v>2</v>
      </c>
      <c r="D419" s="3204">
        <v>2</v>
      </c>
      <c r="E419" s="3204">
        <v>203</v>
      </c>
      <c r="F419" s="3206" t="s">
        <v>3583</v>
      </c>
      <c r="G419" s="3202" t="s">
        <v>3581</v>
      </c>
      <c r="H419" s="3202" t="s">
        <v>3547</v>
      </c>
      <c r="I419" s="3212">
        <v>87.21</v>
      </c>
      <c r="J419" s="3204">
        <v>1</v>
      </c>
    </row>
    <row r="420" spans="1:10">
      <c r="A420" s="3204">
        <v>419</v>
      </c>
      <c r="B420" s="3204">
        <v>2</v>
      </c>
      <c r="C420" s="3204">
        <v>2</v>
      </c>
      <c r="D420" s="3204">
        <v>3</v>
      </c>
      <c r="E420" s="3204">
        <v>301</v>
      </c>
      <c r="F420" s="3206" t="s">
        <v>3573</v>
      </c>
      <c r="G420" s="3202" t="s">
        <v>3527</v>
      </c>
      <c r="H420" s="3202" t="s">
        <v>3448</v>
      </c>
      <c r="I420" s="3212">
        <v>76.3</v>
      </c>
      <c r="J420" s="3204">
        <v>1</v>
      </c>
    </row>
    <row r="421" spans="1:10">
      <c r="A421" s="3204">
        <v>420</v>
      </c>
      <c r="B421" s="3204">
        <v>2</v>
      </c>
      <c r="C421" s="3204">
        <v>2</v>
      </c>
      <c r="D421" s="3204">
        <v>3</v>
      </c>
      <c r="E421" s="3204">
        <v>302</v>
      </c>
      <c r="F421" s="3206" t="s">
        <v>3545</v>
      </c>
      <c r="G421" s="3202" t="s">
        <v>3527</v>
      </c>
      <c r="H421" s="3202" t="s">
        <v>3543</v>
      </c>
      <c r="I421" s="3212">
        <v>68.400000000000006</v>
      </c>
      <c r="J421" s="3204">
        <v>1</v>
      </c>
    </row>
    <row r="422" spans="1:10">
      <c r="A422" s="3204">
        <v>421</v>
      </c>
      <c r="B422" s="3204">
        <v>2</v>
      </c>
      <c r="C422" s="3204">
        <v>2</v>
      </c>
      <c r="D422" s="3204">
        <v>3</v>
      </c>
      <c r="E422" s="3204">
        <v>303</v>
      </c>
      <c r="F422" s="3206" t="s">
        <v>3583</v>
      </c>
      <c r="G422" s="3202" t="s">
        <v>3581</v>
      </c>
      <c r="H422" s="3202" t="s">
        <v>3547</v>
      </c>
      <c r="I422" s="3212">
        <v>87.21</v>
      </c>
      <c r="J422" s="3204">
        <v>1</v>
      </c>
    </row>
    <row r="423" spans="1:10">
      <c r="A423" s="3204">
        <v>422</v>
      </c>
      <c r="B423" s="3204">
        <v>2</v>
      </c>
      <c r="C423" s="3204">
        <v>2</v>
      </c>
      <c r="D423" s="3204">
        <v>4</v>
      </c>
      <c r="E423" s="3204">
        <v>401</v>
      </c>
      <c r="F423" s="3206" t="s">
        <v>3573</v>
      </c>
      <c r="G423" s="3202" t="s">
        <v>3527</v>
      </c>
      <c r="H423" s="3202" t="s">
        <v>3448</v>
      </c>
      <c r="I423" s="3212">
        <v>76.3</v>
      </c>
      <c r="J423" s="3204">
        <v>1</v>
      </c>
    </row>
    <row r="424" spans="1:10">
      <c r="A424" s="3204">
        <v>423</v>
      </c>
      <c r="B424" s="3204">
        <v>2</v>
      </c>
      <c r="C424" s="3204">
        <v>2</v>
      </c>
      <c r="D424" s="3204">
        <v>4</v>
      </c>
      <c r="E424" s="3204">
        <v>402</v>
      </c>
      <c r="F424" s="3206" t="s">
        <v>3545</v>
      </c>
      <c r="G424" s="3202" t="s">
        <v>3527</v>
      </c>
      <c r="H424" s="3202" t="s">
        <v>3543</v>
      </c>
      <c r="I424" s="3212">
        <v>68.400000000000006</v>
      </c>
      <c r="J424" s="3204">
        <v>1</v>
      </c>
    </row>
    <row r="425" spans="1:10">
      <c r="A425" s="3204">
        <v>424</v>
      </c>
      <c r="B425" s="3204">
        <v>2</v>
      </c>
      <c r="C425" s="3204">
        <v>2</v>
      </c>
      <c r="D425" s="3204">
        <v>4</v>
      </c>
      <c r="E425" s="3204">
        <v>403</v>
      </c>
      <c r="F425" s="3206" t="s">
        <v>3583</v>
      </c>
      <c r="G425" s="3202" t="s">
        <v>3581</v>
      </c>
      <c r="H425" s="3202" t="s">
        <v>3547</v>
      </c>
      <c r="I425" s="3212">
        <v>87.21</v>
      </c>
      <c r="J425" s="3204">
        <v>1</v>
      </c>
    </row>
    <row r="426" spans="1:10">
      <c r="A426" s="3204">
        <v>425</v>
      </c>
      <c r="B426" s="3204">
        <v>2</v>
      </c>
      <c r="C426" s="3204">
        <v>2</v>
      </c>
      <c r="D426" s="3204">
        <v>5</v>
      </c>
      <c r="E426" s="3204">
        <v>501</v>
      </c>
      <c r="F426" s="3206" t="s">
        <v>3573</v>
      </c>
      <c r="G426" s="3202" t="s">
        <v>3527</v>
      </c>
      <c r="H426" s="3202" t="s">
        <v>3448</v>
      </c>
      <c r="I426" s="3212">
        <v>76.3</v>
      </c>
      <c r="J426" s="3204">
        <v>1</v>
      </c>
    </row>
    <row r="427" spans="1:10">
      <c r="A427" s="3204">
        <v>426</v>
      </c>
      <c r="B427" s="3204">
        <v>2</v>
      </c>
      <c r="C427" s="3204">
        <v>2</v>
      </c>
      <c r="D427" s="3204">
        <v>5</v>
      </c>
      <c r="E427" s="3204">
        <v>502</v>
      </c>
      <c r="F427" s="3206" t="s">
        <v>3545</v>
      </c>
      <c r="G427" s="3202" t="s">
        <v>3527</v>
      </c>
      <c r="H427" s="3202" t="s">
        <v>3543</v>
      </c>
      <c r="I427" s="3212">
        <v>68.400000000000006</v>
      </c>
      <c r="J427" s="3204">
        <v>1</v>
      </c>
    </row>
    <row r="428" spans="1:10">
      <c r="A428" s="3204">
        <v>427</v>
      </c>
      <c r="B428" s="3204">
        <v>2</v>
      </c>
      <c r="C428" s="3204">
        <v>2</v>
      </c>
      <c r="D428" s="3204">
        <v>5</v>
      </c>
      <c r="E428" s="3204">
        <v>503</v>
      </c>
      <c r="F428" s="3206" t="s">
        <v>3583</v>
      </c>
      <c r="G428" s="3202" t="s">
        <v>3581</v>
      </c>
      <c r="H428" s="3202" t="s">
        <v>3547</v>
      </c>
      <c r="I428" s="3212">
        <v>87.21</v>
      </c>
      <c r="J428" s="3204">
        <v>1</v>
      </c>
    </row>
    <row r="429" spans="1:10">
      <c r="A429" s="3204">
        <v>428</v>
      </c>
      <c r="B429" s="3204">
        <v>2</v>
      </c>
      <c r="C429" s="3204">
        <v>2</v>
      </c>
      <c r="D429" s="3204">
        <v>6</v>
      </c>
      <c r="E429" s="3204">
        <v>601</v>
      </c>
      <c r="F429" s="3206" t="s">
        <v>3573</v>
      </c>
      <c r="G429" s="3202" t="s">
        <v>3527</v>
      </c>
      <c r="H429" s="3202" t="s">
        <v>3448</v>
      </c>
      <c r="I429" s="3212">
        <v>76.3</v>
      </c>
      <c r="J429" s="3204">
        <v>1</v>
      </c>
    </row>
    <row r="430" spans="1:10">
      <c r="A430" s="3204">
        <v>429</v>
      </c>
      <c r="B430" s="3204">
        <v>2</v>
      </c>
      <c r="C430" s="3204">
        <v>2</v>
      </c>
      <c r="D430" s="3204">
        <v>6</v>
      </c>
      <c r="E430" s="3204">
        <v>602</v>
      </c>
      <c r="F430" s="3206" t="s">
        <v>3545</v>
      </c>
      <c r="G430" s="3202" t="s">
        <v>3527</v>
      </c>
      <c r="H430" s="3202" t="s">
        <v>3543</v>
      </c>
      <c r="I430" s="3212">
        <v>68.400000000000006</v>
      </c>
      <c r="J430" s="3204">
        <v>1</v>
      </c>
    </row>
    <row r="431" spans="1:10">
      <c r="A431" s="3204">
        <v>430</v>
      </c>
      <c r="B431" s="3204">
        <v>2</v>
      </c>
      <c r="C431" s="3204">
        <v>2</v>
      </c>
      <c r="D431" s="3204">
        <v>6</v>
      </c>
      <c r="E431" s="3204">
        <v>603</v>
      </c>
      <c r="F431" s="3206" t="s">
        <v>3583</v>
      </c>
      <c r="G431" s="3202" t="s">
        <v>3581</v>
      </c>
      <c r="H431" s="3202" t="s">
        <v>3547</v>
      </c>
      <c r="I431" s="3212">
        <v>87.21</v>
      </c>
      <c r="J431" s="3204">
        <v>1</v>
      </c>
    </row>
    <row r="432" spans="1:10">
      <c r="A432" s="3204">
        <v>431</v>
      </c>
      <c r="B432" s="3204">
        <v>2</v>
      </c>
      <c r="C432" s="3204">
        <v>3</v>
      </c>
      <c r="D432" s="3204">
        <v>2</v>
      </c>
      <c r="E432" s="3204">
        <v>201</v>
      </c>
      <c r="F432" s="3206" t="s">
        <v>3576</v>
      </c>
      <c r="G432" s="3202" t="s">
        <v>3527</v>
      </c>
      <c r="H432" s="3202" t="s">
        <v>3448</v>
      </c>
      <c r="I432" s="3212">
        <v>81.88</v>
      </c>
      <c r="J432" s="3204">
        <v>1</v>
      </c>
    </row>
    <row r="433" spans="1:10">
      <c r="A433" s="3204">
        <v>432</v>
      </c>
      <c r="B433" s="3204">
        <v>2</v>
      </c>
      <c r="C433" s="3204">
        <v>3</v>
      </c>
      <c r="D433" s="3204">
        <v>2</v>
      </c>
      <c r="E433" s="3204">
        <v>202</v>
      </c>
      <c r="F433" s="3206" t="s">
        <v>3539</v>
      </c>
      <c r="G433" s="3202" t="s">
        <v>3527</v>
      </c>
      <c r="H433" s="3202" t="s">
        <v>3532</v>
      </c>
      <c r="I433" s="3212">
        <v>88.02</v>
      </c>
      <c r="J433" s="3204">
        <v>1</v>
      </c>
    </row>
    <row r="434" spans="1:10">
      <c r="A434" s="3204">
        <v>433</v>
      </c>
      <c r="B434" s="3204">
        <v>2</v>
      </c>
      <c r="C434" s="3204">
        <v>3</v>
      </c>
      <c r="D434" s="3204">
        <v>2</v>
      </c>
      <c r="E434" s="3204">
        <v>203</v>
      </c>
      <c r="F434" s="3206" t="s">
        <v>3554</v>
      </c>
      <c r="G434" s="3202" t="s">
        <v>3527</v>
      </c>
      <c r="H434" s="3202" t="s">
        <v>3448</v>
      </c>
      <c r="I434" s="3212">
        <v>84.88</v>
      </c>
      <c r="J434" s="3204">
        <v>1</v>
      </c>
    </row>
    <row r="435" spans="1:10">
      <c r="A435" s="3204">
        <v>434</v>
      </c>
      <c r="B435" s="3204">
        <v>2</v>
      </c>
      <c r="C435" s="3204">
        <v>3</v>
      </c>
      <c r="D435" s="3204">
        <v>3</v>
      </c>
      <c r="E435" s="3204">
        <v>301</v>
      </c>
      <c r="F435" s="3206" t="s">
        <v>3576</v>
      </c>
      <c r="G435" s="3202" t="s">
        <v>3527</v>
      </c>
      <c r="H435" s="3202" t="s">
        <v>3448</v>
      </c>
      <c r="I435" s="3212">
        <v>81.88</v>
      </c>
      <c r="J435" s="3204">
        <v>1</v>
      </c>
    </row>
    <row r="436" spans="1:10">
      <c r="A436" s="3204">
        <v>435</v>
      </c>
      <c r="B436" s="3204">
        <v>2</v>
      </c>
      <c r="C436" s="3204">
        <v>3</v>
      </c>
      <c r="D436" s="3204">
        <v>3</v>
      </c>
      <c r="E436" s="3204">
        <v>302</v>
      </c>
      <c r="F436" s="3206" t="s">
        <v>3539</v>
      </c>
      <c r="G436" s="3202" t="s">
        <v>3527</v>
      </c>
      <c r="H436" s="3202" t="s">
        <v>3532</v>
      </c>
      <c r="I436" s="3212">
        <v>88.02</v>
      </c>
      <c r="J436" s="3204">
        <v>1</v>
      </c>
    </row>
    <row r="437" spans="1:10">
      <c r="A437" s="3204">
        <v>436</v>
      </c>
      <c r="B437" s="3204">
        <v>2</v>
      </c>
      <c r="C437" s="3204">
        <v>3</v>
      </c>
      <c r="D437" s="3204">
        <v>3</v>
      </c>
      <c r="E437" s="3204">
        <v>303</v>
      </c>
      <c r="F437" s="3206" t="s">
        <v>3554</v>
      </c>
      <c r="G437" s="3202" t="s">
        <v>3527</v>
      </c>
      <c r="H437" s="3202" t="s">
        <v>3448</v>
      </c>
      <c r="I437" s="3212">
        <v>84.88</v>
      </c>
      <c r="J437" s="3204">
        <v>1</v>
      </c>
    </row>
    <row r="438" spans="1:10">
      <c r="A438" s="3204">
        <v>437</v>
      </c>
      <c r="B438" s="3204">
        <v>2</v>
      </c>
      <c r="C438" s="3204">
        <v>3</v>
      </c>
      <c r="D438" s="3204">
        <v>4</v>
      </c>
      <c r="E438" s="3204">
        <v>401</v>
      </c>
      <c r="F438" s="3206" t="s">
        <v>3576</v>
      </c>
      <c r="G438" s="3202" t="s">
        <v>3527</v>
      </c>
      <c r="H438" s="3202" t="s">
        <v>3448</v>
      </c>
      <c r="I438" s="3212">
        <v>81.88</v>
      </c>
      <c r="J438" s="3204">
        <v>1</v>
      </c>
    </row>
    <row r="439" spans="1:10">
      <c r="A439" s="3204">
        <v>438</v>
      </c>
      <c r="B439" s="3204">
        <v>2</v>
      </c>
      <c r="C439" s="3204">
        <v>3</v>
      </c>
      <c r="D439" s="3204">
        <v>4</v>
      </c>
      <c r="E439" s="3204">
        <v>402</v>
      </c>
      <c r="F439" s="3206" t="s">
        <v>3539</v>
      </c>
      <c r="G439" s="3202" t="s">
        <v>3527</v>
      </c>
      <c r="H439" s="3202" t="s">
        <v>3532</v>
      </c>
      <c r="I439" s="3212">
        <v>88.02</v>
      </c>
      <c r="J439" s="3204">
        <v>1</v>
      </c>
    </row>
    <row r="440" spans="1:10">
      <c r="A440" s="3204">
        <v>439</v>
      </c>
      <c r="B440" s="3204">
        <v>2</v>
      </c>
      <c r="C440" s="3204">
        <v>3</v>
      </c>
      <c r="D440" s="3204">
        <v>4</v>
      </c>
      <c r="E440" s="3204">
        <v>403</v>
      </c>
      <c r="F440" s="3206" t="s">
        <v>3554</v>
      </c>
      <c r="G440" s="3202" t="s">
        <v>3527</v>
      </c>
      <c r="H440" s="3202" t="s">
        <v>3448</v>
      </c>
      <c r="I440" s="3212">
        <v>84.88</v>
      </c>
      <c r="J440" s="3204">
        <v>1</v>
      </c>
    </row>
    <row r="441" spans="1:10">
      <c r="A441" s="3204">
        <v>440</v>
      </c>
      <c r="B441" s="3204">
        <v>2</v>
      </c>
      <c r="C441" s="3204">
        <v>3</v>
      </c>
      <c r="D441" s="3204">
        <v>5</v>
      </c>
      <c r="E441" s="3204">
        <v>501</v>
      </c>
      <c r="F441" s="3206" t="s">
        <v>3576</v>
      </c>
      <c r="G441" s="3202" t="s">
        <v>3527</v>
      </c>
      <c r="H441" s="3202" t="s">
        <v>3448</v>
      </c>
      <c r="I441" s="3212">
        <v>81.88</v>
      </c>
      <c r="J441" s="3204">
        <v>1</v>
      </c>
    </row>
    <row r="442" spans="1:10">
      <c r="A442" s="3204">
        <v>441</v>
      </c>
      <c r="B442" s="3204">
        <v>2</v>
      </c>
      <c r="C442" s="3204">
        <v>3</v>
      </c>
      <c r="D442" s="3204">
        <v>5</v>
      </c>
      <c r="E442" s="3204">
        <v>502</v>
      </c>
      <c r="F442" s="3206" t="s">
        <v>3539</v>
      </c>
      <c r="G442" s="3202" t="s">
        <v>3527</v>
      </c>
      <c r="H442" s="3202" t="s">
        <v>3532</v>
      </c>
      <c r="I442" s="3212">
        <v>88.02</v>
      </c>
      <c r="J442" s="3204">
        <v>1</v>
      </c>
    </row>
    <row r="443" spans="1:10">
      <c r="A443" s="3204">
        <v>442</v>
      </c>
      <c r="B443" s="3204">
        <v>2</v>
      </c>
      <c r="C443" s="3204">
        <v>3</v>
      </c>
      <c r="D443" s="3204">
        <v>5</v>
      </c>
      <c r="E443" s="3204">
        <v>503</v>
      </c>
      <c r="F443" s="3206" t="s">
        <v>3554</v>
      </c>
      <c r="G443" s="3202" t="s">
        <v>3527</v>
      </c>
      <c r="H443" s="3202" t="s">
        <v>3448</v>
      </c>
      <c r="I443" s="3212">
        <v>84.88</v>
      </c>
      <c r="J443" s="3204">
        <v>1</v>
      </c>
    </row>
    <row r="444" spans="1:10">
      <c r="A444" s="3204">
        <v>443</v>
      </c>
      <c r="B444" s="3204">
        <v>2</v>
      </c>
      <c r="C444" s="3204">
        <v>3</v>
      </c>
      <c r="D444" s="3204">
        <v>6</v>
      </c>
      <c r="E444" s="3204">
        <v>601</v>
      </c>
      <c r="F444" s="3206" t="s">
        <v>3576</v>
      </c>
      <c r="G444" s="3202" t="s">
        <v>3527</v>
      </c>
      <c r="H444" s="3202" t="s">
        <v>3448</v>
      </c>
      <c r="I444" s="3212">
        <v>81.88</v>
      </c>
      <c r="J444" s="3204">
        <v>1</v>
      </c>
    </row>
    <row r="445" spans="1:10">
      <c r="A445" s="3204">
        <v>444</v>
      </c>
      <c r="B445" s="3204">
        <v>2</v>
      </c>
      <c r="C445" s="3204">
        <v>3</v>
      </c>
      <c r="D445" s="3204">
        <v>6</v>
      </c>
      <c r="E445" s="3204">
        <v>602</v>
      </c>
      <c r="F445" s="3206" t="s">
        <v>3539</v>
      </c>
      <c r="G445" s="3202" t="s">
        <v>3527</v>
      </c>
      <c r="H445" s="3202" t="s">
        <v>3532</v>
      </c>
      <c r="I445" s="3212">
        <v>88.02</v>
      </c>
      <c r="J445" s="3204">
        <v>1</v>
      </c>
    </row>
    <row r="446" spans="1:10">
      <c r="A446" s="3204">
        <v>445</v>
      </c>
      <c r="B446" s="3204">
        <v>2</v>
      </c>
      <c r="C446" s="3204">
        <v>3</v>
      </c>
      <c r="D446" s="3204">
        <v>6</v>
      </c>
      <c r="E446" s="3204">
        <v>603</v>
      </c>
      <c r="F446" s="3206" t="s">
        <v>3554</v>
      </c>
      <c r="G446" s="3202" t="s">
        <v>3527</v>
      </c>
      <c r="H446" s="3202" t="s">
        <v>3448</v>
      </c>
      <c r="I446" s="3212">
        <v>84.88</v>
      </c>
      <c r="J446" s="3204">
        <v>1</v>
      </c>
    </row>
    <row r="447" spans="1:10">
      <c r="A447" s="3204">
        <v>446</v>
      </c>
      <c r="B447" s="3204">
        <v>2</v>
      </c>
      <c r="C447" s="3204">
        <v>4</v>
      </c>
      <c r="D447" s="3204">
        <v>2</v>
      </c>
      <c r="E447" s="3204">
        <v>201</v>
      </c>
      <c r="F447" s="3206" t="s">
        <v>3526</v>
      </c>
      <c r="G447" s="3202" t="s">
        <v>3527</v>
      </c>
      <c r="H447" s="3202" t="s">
        <v>3448</v>
      </c>
      <c r="I447" s="3212">
        <v>85.04</v>
      </c>
      <c r="J447" s="3204">
        <v>1</v>
      </c>
    </row>
    <row r="448" spans="1:10">
      <c r="A448" s="3204">
        <v>447</v>
      </c>
      <c r="B448" s="3204">
        <v>2</v>
      </c>
      <c r="C448" s="3204">
        <v>4</v>
      </c>
      <c r="D448" s="3204">
        <v>2</v>
      </c>
      <c r="E448" s="3204">
        <v>202</v>
      </c>
      <c r="F448" s="3206" t="s">
        <v>3531</v>
      </c>
      <c r="G448" s="3202" t="s">
        <v>3527</v>
      </c>
      <c r="H448" s="3202" t="s">
        <v>3532</v>
      </c>
      <c r="I448" s="3212">
        <v>88.22</v>
      </c>
      <c r="J448" s="3204">
        <v>1</v>
      </c>
    </row>
    <row r="449" spans="1:10">
      <c r="A449" s="3204">
        <v>448</v>
      </c>
      <c r="B449" s="3204">
        <v>2</v>
      </c>
      <c r="C449" s="3204">
        <v>4</v>
      </c>
      <c r="D449" s="3204">
        <v>2</v>
      </c>
      <c r="E449" s="3204">
        <v>203</v>
      </c>
      <c r="F449" s="3206" t="s">
        <v>3534</v>
      </c>
      <c r="G449" s="3202" t="s">
        <v>3527</v>
      </c>
      <c r="H449" s="3202" t="s">
        <v>3448</v>
      </c>
      <c r="I449" s="3212">
        <v>82.26</v>
      </c>
      <c r="J449" s="3204">
        <v>1</v>
      </c>
    </row>
    <row r="450" spans="1:10">
      <c r="A450" s="3204">
        <v>449</v>
      </c>
      <c r="B450" s="3204">
        <v>2</v>
      </c>
      <c r="C450" s="3204">
        <v>4</v>
      </c>
      <c r="D450" s="3204">
        <v>3</v>
      </c>
      <c r="E450" s="3204">
        <v>301</v>
      </c>
      <c r="F450" s="3206" t="s">
        <v>3526</v>
      </c>
      <c r="G450" s="3202" t="s">
        <v>3527</v>
      </c>
      <c r="H450" s="3202" t="s">
        <v>3448</v>
      </c>
      <c r="I450" s="3212">
        <v>85.04</v>
      </c>
      <c r="J450" s="3204">
        <v>1</v>
      </c>
    </row>
    <row r="451" spans="1:10">
      <c r="A451" s="3204">
        <v>450</v>
      </c>
      <c r="B451" s="3204">
        <v>2</v>
      </c>
      <c r="C451" s="3204">
        <v>4</v>
      </c>
      <c r="D451" s="3204">
        <v>3</v>
      </c>
      <c r="E451" s="3204">
        <v>302</v>
      </c>
      <c r="F451" s="3206" t="s">
        <v>3531</v>
      </c>
      <c r="G451" s="3202" t="s">
        <v>3527</v>
      </c>
      <c r="H451" s="3202" t="s">
        <v>3532</v>
      </c>
      <c r="I451" s="3212">
        <v>88.22</v>
      </c>
      <c r="J451" s="3204">
        <v>1</v>
      </c>
    </row>
    <row r="452" spans="1:10">
      <c r="A452" s="3204">
        <v>451</v>
      </c>
      <c r="B452" s="3204">
        <v>2</v>
      </c>
      <c r="C452" s="3204">
        <v>4</v>
      </c>
      <c r="D452" s="3204">
        <v>3</v>
      </c>
      <c r="E452" s="3204">
        <v>303</v>
      </c>
      <c r="F452" s="3206" t="s">
        <v>3534</v>
      </c>
      <c r="G452" s="3202" t="s">
        <v>3527</v>
      </c>
      <c r="H452" s="3202" t="s">
        <v>3448</v>
      </c>
      <c r="I452" s="3212">
        <v>82.26</v>
      </c>
      <c r="J452" s="3204">
        <v>1</v>
      </c>
    </row>
    <row r="453" spans="1:10">
      <c r="A453" s="3204">
        <v>452</v>
      </c>
      <c r="B453" s="3204">
        <v>2</v>
      </c>
      <c r="C453" s="3204">
        <v>4</v>
      </c>
      <c r="D453" s="3204">
        <v>4</v>
      </c>
      <c r="E453" s="3204">
        <v>401</v>
      </c>
      <c r="F453" s="3206" t="s">
        <v>3526</v>
      </c>
      <c r="G453" s="3202" t="s">
        <v>3527</v>
      </c>
      <c r="H453" s="3202" t="s">
        <v>3448</v>
      </c>
      <c r="I453" s="3212">
        <v>85.04</v>
      </c>
      <c r="J453" s="3204">
        <v>1</v>
      </c>
    </row>
    <row r="454" spans="1:10">
      <c r="A454" s="3204">
        <v>453</v>
      </c>
      <c r="B454" s="3204">
        <v>2</v>
      </c>
      <c r="C454" s="3204">
        <v>4</v>
      </c>
      <c r="D454" s="3204">
        <v>4</v>
      </c>
      <c r="E454" s="3204">
        <v>402</v>
      </c>
      <c r="F454" s="3206" t="s">
        <v>3531</v>
      </c>
      <c r="G454" s="3202" t="s">
        <v>3527</v>
      </c>
      <c r="H454" s="3202" t="s">
        <v>3532</v>
      </c>
      <c r="I454" s="3212">
        <v>88.22</v>
      </c>
      <c r="J454" s="3204">
        <v>1</v>
      </c>
    </row>
    <row r="455" spans="1:10">
      <c r="A455" s="3204">
        <v>454</v>
      </c>
      <c r="B455" s="3204">
        <v>2</v>
      </c>
      <c r="C455" s="3204">
        <v>4</v>
      </c>
      <c r="D455" s="3204">
        <v>4</v>
      </c>
      <c r="E455" s="3204">
        <v>403</v>
      </c>
      <c r="F455" s="3206" t="s">
        <v>3534</v>
      </c>
      <c r="G455" s="3202" t="s">
        <v>3527</v>
      </c>
      <c r="H455" s="3202" t="s">
        <v>3448</v>
      </c>
      <c r="I455" s="3212">
        <v>82.26</v>
      </c>
      <c r="J455" s="3204">
        <v>1</v>
      </c>
    </row>
    <row r="456" spans="1:10">
      <c r="A456" s="3204">
        <v>455</v>
      </c>
      <c r="B456" s="3204">
        <v>2</v>
      </c>
      <c r="C456" s="3204">
        <v>4</v>
      </c>
      <c r="D456" s="3204">
        <v>5</v>
      </c>
      <c r="E456" s="3204">
        <v>501</v>
      </c>
      <c r="F456" s="3206" t="s">
        <v>3526</v>
      </c>
      <c r="G456" s="3202" t="s">
        <v>3527</v>
      </c>
      <c r="H456" s="3202" t="s">
        <v>3448</v>
      </c>
      <c r="I456" s="3212">
        <v>85.04</v>
      </c>
      <c r="J456" s="3204">
        <v>1</v>
      </c>
    </row>
    <row r="457" spans="1:10">
      <c r="A457" s="3204">
        <v>456</v>
      </c>
      <c r="B457" s="3204">
        <v>2</v>
      </c>
      <c r="C457" s="3204">
        <v>4</v>
      </c>
      <c r="D457" s="3204">
        <v>5</v>
      </c>
      <c r="E457" s="3204">
        <v>502</v>
      </c>
      <c r="F457" s="3206" t="s">
        <v>3531</v>
      </c>
      <c r="G457" s="3202" t="s">
        <v>3527</v>
      </c>
      <c r="H457" s="3202" t="s">
        <v>3532</v>
      </c>
      <c r="I457" s="3212">
        <v>88.22</v>
      </c>
      <c r="J457" s="3204">
        <v>1</v>
      </c>
    </row>
    <row r="458" spans="1:10">
      <c r="A458" s="3204">
        <v>457</v>
      </c>
      <c r="B458" s="3204">
        <v>2</v>
      </c>
      <c r="C458" s="3204">
        <v>4</v>
      </c>
      <c r="D458" s="3204">
        <v>5</v>
      </c>
      <c r="E458" s="3204">
        <v>503</v>
      </c>
      <c r="F458" s="3206" t="s">
        <v>3534</v>
      </c>
      <c r="G458" s="3202" t="s">
        <v>3527</v>
      </c>
      <c r="H458" s="3202" t="s">
        <v>3448</v>
      </c>
      <c r="I458" s="3212">
        <v>82.26</v>
      </c>
      <c r="J458" s="3204">
        <v>1</v>
      </c>
    </row>
    <row r="459" spans="1:10">
      <c r="A459" s="3204">
        <v>458</v>
      </c>
      <c r="B459" s="3204">
        <v>2</v>
      </c>
      <c r="C459" s="3204">
        <v>4</v>
      </c>
      <c r="D459" s="3204">
        <v>6</v>
      </c>
      <c r="E459" s="3204">
        <v>601</v>
      </c>
      <c r="F459" s="3206" t="s">
        <v>3526</v>
      </c>
      <c r="G459" s="3202" t="s">
        <v>3527</v>
      </c>
      <c r="H459" s="3202" t="s">
        <v>3448</v>
      </c>
      <c r="I459" s="3212">
        <v>85.04</v>
      </c>
      <c r="J459" s="3204">
        <v>1</v>
      </c>
    </row>
    <row r="460" spans="1:10">
      <c r="A460" s="3204">
        <v>459</v>
      </c>
      <c r="B460" s="3204">
        <v>2</v>
      </c>
      <c r="C460" s="3204">
        <v>4</v>
      </c>
      <c r="D460" s="3204">
        <v>6</v>
      </c>
      <c r="E460" s="3204">
        <v>602</v>
      </c>
      <c r="F460" s="3206" t="s">
        <v>3531</v>
      </c>
      <c r="G460" s="3202" t="s">
        <v>3527</v>
      </c>
      <c r="H460" s="3202" t="s">
        <v>3532</v>
      </c>
      <c r="I460" s="3212">
        <v>88.22</v>
      </c>
      <c r="J460" s="3204">
        <v>1</v>
      </c>
    </row>
    <row r="461" spans="1:10">
      <c r="A461" s="3204">
        <v>460</v>
      </c>
      <c r="B461" s="3204">
        <v>2</v>
      </c>
      <c r="C461" s="3204">
        <v>4</v>
      </c>
      <c r="D461" s="3204">
        <v>6</v>
      </c>
      <c r="E461" s="3204">
        <v>603</v>
      </c>
      <c r="F461" s="3206" t="s">
        <v>3534</v>
      </c>
      <c r="G461" s="3202" t="s">
        <v>3527</v>
      </c>
      <c r="H461" s="3202" t="s">
        <v>3448</v>
      </c>
      <c r="I461" s="3212">
        <v>82.26</v>
      </c>
      <c r="J461" s="3204">
        <v>1</v>
      </c>
    </row>
    <row r="462" spans="1:10">
      <c r="A462" s="3204">
        <v>461</v>
      </c>
      <c r="B462" s="3204">
        <v>2</v>
      </c>
      <c r="C462" s="3204">
        <v>5</v>
      </c>
      <c r="D462" s="3204">
        <v>2</v>
      </c>
      <c r="E462" s="3204">
        <v>201</v>
      </c>
      <c r="F462" s="3206" t="s">
        <v>3552</v>
      </c>
      <c r="G462" s="3202" t="s">
        <v>3527</v>
      </c>
      <c r="H462" s="3202" t="s">
        <v>3448</v>
      </c>
      <c r="I462" s="3212">
        <v>82.26</v>
      </c>
      <c r="J462" s="3204">
        <v>1</v>
      </c>
    </row>
    <row r="463" spans="1:10">
      <c r="A463" s="3204">
        <v>462</v>
      </c>
      <c r="B463" s="3204">
        <v>2</v>
      </c>
      <c r="C463" s="3204">
        <v>5</v>
      </c>
      <c r="D463" s="3204">
        <v>2</v>
      </c>
      <c r="E463" s="3204">
        <v>202</v>
      </c>
      <c r="F463" s="3206" t="s">
        <v>3560</v>
      </c>
      <c r="G463" s="3202" t="s">
        <v>3527</v>
      </c>
      <c r="H463" s="3202" t="s">
        <v>3532</v>
      </c>
      <c r="I463" s="3212">
        <v>88.22</v>
      </c>
      <c r="J463" s="3204">
        <v>1</v>
      </c>
    </row>
    <row r="464" spans="1:10">
      <c r="A464" s="3204">
        <v>463</v>
      </c>
      <c r="B464" s="3204">
        <v>2</v>
      </c>
      <c r="C464" s="3204">
        <v>5</v>
      </c>
      <c r="D464" s="3204">
        <v>2</v>
      </c>
      <c r="E464" s="3204">
        <v>203</v>
      </c>
      <c r="F464" s="3206" t="s">
        <v>3562</v>
      </c>
      <c r="G464" s="3202" t="s">
        <v>3527</v>
      </c>
      <c r="H464" s="3202" t="s">
        <v>3448</v>
      </c>
      <c r="I464" s="3212">
        <v>85.04</v>
      </c>
      <c r="J464" s="3204">
        <v>1</v>
      </c>
    </row>
    <row r="465" spans="1:10">
      <c r="A465" s="3204">
        <v>464</v>
      </c>
      <c r="B465" s="3204">
        <v>2</v>
      </c>
      <c r="C465" s="3204">
        <v>5</v>
      </c>
      <c r="D465" s="3204">
        <v>3</v>
      </c>
      <c r="E465" s="3204">
        <v>301</v>
      </c>
      <c r="F465" s="3206" t="s">
        <v>3552</v>
      </c>
      <c r="G465" s="3202" t="s">
        <v>3527</v>
      </c>
      <c r="H465" s="3202" t="s">
        <v>3448</v>
      </c>
      <c r="I465" s="3212">
        <v>82.26</v>
      </c>
      <c r="J465" s="3204">
        <v>1</v>
      </c>
    </row>
    <row r="466" spans="1:10">
      <c r="A466" s="3204">
        <v>465</v>
      </c>
      <c r="B466" s="3204">
        <v>2</v>
      </c>
      <c r="C466" s="3204">
        <v>5</v>
      </c>
      <c r="D466" s="3204">
        <v>3</v>
      </c>
      <c r="E466" s="3204">
        <v>302</v>
      </c>
      <c r="F466" s="3206" t="s">
        <v>3560</v>
      </c>
      <c r="G466" s="3202" t="s">
        <v>3527</v>
      </c>
      <c r="H466" s="3202" t="s">
        <v>3532</v>
      </c>
      <c r="I466" s="3212">
        <v>88.22</v>
      </c>
      <c r="J466" s="3204">
        <v>1</v>
      </c>
    </row>
    <row r="467" spans="1:10">
      <c r="A467" s="3204">
        <v>466</v>
      </c>
      <c r="B467" s="3204">
        <v>2</v>
      </c>
      <c r="C467" s="3204">
        <v>5</v>
      </c>
      <c r="D467" s="3204">
        <v>3</v>
      </c>
      <c r="E467" s="3204">
        <v>303</v>
      </c>
      <c r="F467" s="3206" t="s">
        <v>3562</v>
      </c>
      <c r="G467" s="3202" t="s">
        <v>3527</v>
      </c>
      <c r="H467" s="3202" t="s">
        <v>3448</v>
      </c>
      <c r="I467" s="3212">
        <v>85.04</v>
      </c>
      <c r="J467" s="3204">
        <v>1</v>
      </c>
    </row>
    <row r="468" spans="1:10">
      <c r="A468" s="3204">
        <v>467</v>
      </c>
      <c r="B468" s="3204">
        <v>2</v>
      </c>
      <c r="C468" s="3204">
        <v>5</v>
      </c>
      <c r="D468" s="3204">
        <v>4</v>
      </c>
      <c r="E468" s="3204">
        <v>401</v>
      </c>
      <c r="F468" s="3206" t="s">
        <v>3552</v>
      </c>
      <c r="G468" s="3202" t="s">
        <v>3527</v>
      </c>
      <c r="H468" s="3202" t="s">
        <v>3448</v>
      </c>
      <c r="I468" s="3212">
        <v>82.26</v>
      </c>
      <c r="J468" s="3204">
        <v>1</v>
      </c>
    </row>
    <row r="469" spans="1:10">
      <c r="A469" s="3204">
        <v>468</v>
      </c>
      <c r="B469" s="3204">
        <v>2</v>
      </c>
      <c r="C469" s="3204">
        <v>5</v>
      </c>
      <c r="D469" s="3204">
        <v>4</v>
      </c>
      <c r="E469" s="3204">
        <v>402</v>
      </c>
      <c r="F469" s="3206" t="s">
        <v>3560</v>
      </c>
      <c r="G469" s="3202" t="s">
        <v>3527</v>
      </c>
      <c r="H469" s="3202" t="s">
        <v>3532</v>
      </c>
      <c r="I469" s="3212">
        <v>88.22</v>
      </c>
      <c r="J469" s="3204">
        <v>1</v>
      </c>
    </row>
    <row r="470" spans="1:10">
      <c r="A470" s="3204">
        <v>469</v>
      </c>
      <c r="B470" s="3204">
        <v>2</v>
      </c>
      <c r="C470" s="3204">
        <v>5</v>
      </c>
      <c r="D470" s="3204">
        <v>4</v>
      </c>
      <c r="E470" s="3204">
        <v>403</v>
      </c>
      <c r="F470" s="3206" t="s">
        <v>3562</v>
      </c>
      <c r="G470" s="3202" t="s">
        <v>3527</v>
      </c>
      <c r="H470" s="3202" t="s">
        <v>3448</v>
      </c>
      <c r="I470" s="3212">
        <v>85.04</v>
      </c>
      <c r="J470" s="3204">
        <v>1</v>
      </c>
    </row>
    <row r="471" spans="1:10">
      <c r="A471" s="3204">
        <v>470</v>
      </c>
      <c r="B471" s="3204">
        <v>2</v>
      </c>
      <c r="C471" s="3204">
        <v>5</v>
      </c>
      <c r="D471" s="3204">
        <v>5</v>
      </c>
      <c r="E471" s="3204">
        <v>501</v>
      </c>
      <c r="F471" s="3206" t="s">
        <v>3552</v>
      </c>
      <c r="G471" s="3202" t="s">
        <v>3527</v>
      </c>
      <c r="H471" s="3202" t="s">
        <v>3448</v>
      </c>
      <c r="I471" s="3212">
        <v>82.26</v>
      </c>
      <c r="J471" s="3204">
        <v>1</v>
      </c>
    </row>
    <row r="472" spans="1:10">
      <c r="A472" s="3204">
        <v>471</v>
      </c>
      <c r="B472" s="3204">
        <v>2</v>
      </c>
      <c r="C472" s="3204">
        <v>5</v>
      </c>
      <c r="D472" s="3204">
        <v>5</v>
      </c>
      <c r="E472" s="3204">
        <v>502</v>
      </c>
      <c r="F472" s="3206" t="s">
        <v>3560</v>
      </c>
      <c r="G472" s="3202" t="s">
        <v>3527</v>
      </c>
      <c r="H472" s="3202" t="s">
        <v>3532</v>
      </c>
      <c r="I472" s="3212">
        <v>88.22</v>
      </c>
      <c r="J472" s="3204">
        <v>1</v>
      </c>
    </row>
    <row r="473" spans="1:10">
      <c r="A473" s="3204">
        <v>472</v>
      </c>
      <c r="B473" s="3204">
        <v>2</v>
      </c>
      <c r="C473" s="3204">
        <v>5</v>
      </c>
      <c r="D473" s="3204">
        <v>5</v>
      </c>
      <c r="E473" s="3204">
        <v>503</v>
      </c>
      <c r="F473" s="3206" t="s">
        <v>3562</v>
      </c>
      <c r="G473" s="3202" t="s">
        <v>3527</v>
      </c>
      <c r="H473" s="3202" t="s">
        <v>3448</v>
      </c>
      <c r="I473" s="3212">
        <v>85.04</v>
      </c>
      <c r="J473" s="3204">
        <v>1</v>
      </c>
    </row>
    <row r="474" spans="1:10">
      <c r="A474" s="3204">
        <v>473</v>
      </c>
      <c r="B474" s="3204">
        <v>2</v>
      </c>
      <c r="C474" s="3204">
        <v>5</v>
      </c>
      <c r="D474" s="3204">
        <v>6</v>
      </c>
      <c r="E474" s="3204">
        <v>601</v>
      </c>
      <c r="F474" s="3206" t="s">
        <v>3552</v>
      </c>
      <c r="G474" s="3202" t="s">
        <v>3527</v>
      </c>
      <c r="H474" s="3202" t="s">
        <v>3448</v>
      </c>
      <c r="I474" s="3212">
        <v>82.26</v>
      </c>
      <c r="J474" s="3204">
        <v>1</v>
      </c>
    </row>
    <row r="475" spans="1:10">
      <c r="A475" s="3204">
        <v>474</v>
      </c>
      <c r="B475" s="3204">
        <v>2</v>
      </c>
      <c r="C475" s="3204">
        <v>5</v>
      </c>
      <c r="D475" s="3204">
        <v>6</v>
      </c>
      <c r="E475" s="3204">
        <v>602</v>
      </c>
      <c r="F475" s="3206" t="s">
        <v>3560</v>
      </c>
      <c r="G475" s="3202" t="s">
        <v>3527</v>
      </c>
      <c r="H475" s="3202" t="s">
        <v>3532</v>
      </c>
      <c r="I475" s="3212">
        <v>88.22</v>
      </c>
      <c r="J475" s="3204">
        <v>1</v>
      </c>
    </row>
    <row r="476" spans="1:10">
      <c r="A476" s="3204">
        <v>475</v>
      </c>
      <c r="B476" s="3204">
        <v>2</v>
      </c>
      <c r="C476" s="3204">
        <v>5</v>
      </c>
      <c r="D476" s="3204">
        <v>6</v>
      </c>
      <c r="E476" s="3204">
        <v>603</v>
      </c>
      <c r="F476" s="3206" t="s">
        <v>3562</v>
      </c>
      <c r="G476" s="3202" t="s">
        <v>3527</v>
      </c>
      <c r="H476" s="3202" t="s">
        <v>3448</v>
      </c>
      <c r="I476" s="3212">
        <v>85.04</v>
      </c>
      <c r="J476" s="3204">
        <v>1</v>
      </c>
    </row>
    <row r="477" spans="1:10">
      <c r="A477" s="3204">
        <v>476</v>
      </c>
      <c r="B477" s="3204">
        <v>2</v>
      </c>
      <c r="C477" s="3204">
        <v>6</v>
      </c>
      <c r="D477" s="3204">
        <v>2</v>
      </c>
      <c r="E477" s="3204">
        <v>201</v>
      </c>
      <c r="F477" s="3206" t="s">
        <v>3526</v>
      </c>
      <c r="G477" s="3202" t="s">
        <v>3527</v>
      </c>
      <c r="H477" s="3202" t="s">
        <v>3448</v>
      </c>
      <c r="I477" s="3212">
        <v>85.04</v>
      </c>
      <c r="J477" s="3204">
        <v>1</v>
      </c>
    </row>
    <row r="478" spans="1:10">
      <c r="A478" s="3204">
        <v>477</v>
      </c>
      <c r="B478" s="3204">
        <v>2</v>
      </c>
      <c r="C478" s="3204">
        <v>6</v>
      </c>
      <c r="D478" s="3204">
        <v>2</v>
      </c>
      <c r="E478" s="3204">
        <v>202</v>
      </c>
      <c r="F478" s="3206" t="s">
        <v>3531</v>
      </c>
      <c r="G478" s="3202" t="s">
        <v>3527</v>
      </c>
      <c r="H478" s="3202" t="s">
        <v>3532</v>
      </c>
      <c r="I478" s="3212">
        <v>88.22</v>
      </c>
      <c r="J478" s="3204">
        <v>1</v>
      </c>
    </row>
    <row r="479" spans="1:10">
      <c r="A479" s="3204">
        <v>478</v>
      </c>
      <c r="B479" s="3204">
        <v>2</v>
      </c>
      <c r="C479" s="3204">
        <v>6</v>
      </c>
      <c r="D479" s="3204">
        <v>2</v>
      </c>
      <c r="E479" s="3204">
        <v>203</v>
      </c>
      <c r="F479" s="3206" t="s">
        <v>3534</v>
      </c>
      <c r="G479" s="3202" t="s">
        <v>3527</v>
      </c>
      <c r="H479" s="3202" t="s">
        <v>3448</v>
      </c>
      <c r="I479" s="3212">
        <v>82.26</v>
      </c>
      <c r="J479" s="3204">
        <v>1</v>
      </c>
    </row>
    <row r="480" spans="1:10">
      <c r="A480" s="3204">
        <v>479</v>
      </c>
      <c r="B480" s="3204">
        <v>2</v>
      </c>
      <c r="C480" s="3204">
        <v>6</v>
      </c>
      <c r="D480" s="3204">
        <v>3</v>
      </c>
      <c r="E480" s="3204">
        <v>301</v>
      </c>
      <c r="F480" s="3206" t="s">
        <v>3526</v>
      </c>
      <c r="G480" s="3202" t="s">
        <v>3527</v>
      </c>
      <c r="H480" s="3202" t="s">
        <v>3448</v>
      </c>
      <c r="I480" s="3212">
        <v>85.04</v>
      </c>
      <c r="J480" s="3204">
        <v>1</v>
      </c>
    </row>
    <row r="481" spans="1:10">
      <c r="A481" s="3204">
        <v>480</v>
      </c>
      <c r="B481" s="3204">
        <v>2</v>
      </c>
      <c r="C481" s="3204">
        <v>6</v>
      </c>
      <c r="D481" s="3204">
        <v>3</v>
      </c>
      <c r="E481" s="3204">
        <v>302</v>
      </c>
      <c r="F481" s="3206" t="s">
        <v>3531</v>
      </c>
      <c r="G481" s="3202" t="s">
        <v>3527</v>
      </c>
      <c r="H481" s="3202" t="s">
        <v>3532</v>
      </c>
      <c r="I481" s="3212">
        <v>88.22</v>
      </c>
      <c r="J481" s="3204">
        <v>1</v>
      </c>
    </row>
    <row r="482" spans="1:10">
      <c r="A482" s="3204">
        <v>481</v>
      </c>
      <c r="B482" s="3204">
        <v>2</v>
      </c>
      <c r="C482" s="3204">
        <v>6</v>
      </c>
      <c r="D482" s="3204">
        <v>3</v>
      </c>
      <c r="E482" s="3204">
        <v>303</v>
      </c>
      <c r="F482" s="3206" t="s">
        <v>3534</v>
      </c>
      <c r="G482" s="3202" t="s">
        <v>3527</v>
      </c>
      <c r="H482" s="3202" t="s">
        <v>3448</v>
      </c>
      <c r="I482" s="3212">
        <v>82.26</v>
      </c>
      <c r="J482" s="3204">
        <v>1</v>
      </c>
    </row>
    <row r="483" spans="1:10">
      <c r="A483" s="3204">
        <v>482</v>
      </c>
      <c r="B483" s="3204">
        <v>2</v>
      </c>
      <c r="C483" s="3204">
        <v>6</v>
      </c>
      <c r="D483" s="3204">
        <v>4</v>
      </c>
      <c r="E483" s="3204">
        <v>401</v>
      </c>
      <c r="F483" s="3206" t="s">
        <v>3526</v>
      </c>
      <c r="G483" s="3202" t="s">
        <v>3527</v>
      </c>
      <c r="H483" s="3202" t="s">
        <v>3448</v>
      </c>
      <c r="I483" s="3212">
        <v>85.04</v>
      </c>
      <c r="J483" s="3204">
        <v>1</v>
      </c>
    </row>
    <row r="484" spans="1:10">
      <c r="A484" s="3204">
        <v>483</v>
      </c>
      <c r="B484" s="3204">
        <v>2</v>
      </c>
      <c r="C484" s="3204">
        <v>6</v>
      </c>
      <c r="D484" s="3204">
        <v>4</v>
      </c>
      <c r="E484" s="3204">
        <v>402</v>
      </c>
      <c r="F484" s="3206" t="s">
        <v>3531</v>
      </c>
      <c r="G484" s="3202" t="s">
        <v>3527</v>
      </c>
      <c r="H484" s="3202" t="s">
        <v>3532</v>
      </c>
      <c r="I484" s="3212">
        <v>88.22</v>
      </c>
      <c r="J484" s="3204">
        <v>1</v>
      </c>
    </row>
    <row r="485" spans="1:10">
      <c r="A485" s="3204">
        <v>484</v>
      </c>
      <c r="B485" s="3204">
        <v>2</v>
      </c>
      <c r="C485" s="3204">
        <v>6</v>
      </c>
      <c r="D485" s="3204">
        <v>4</v>
      </c>
      <c r="E485" s="3204">
        <v>403</v>
      </c>
      <c r="F485" s="3206" t="s">
        <v>3534</v>
      </c>
      <c r="G485" s="3202" t="s">
        <v>3527</v>
      </c>
      <c r="H485" s="3202" t="s">
        <v>3448</v>
      </c>
      <c r="I485" s="3212">
        <v>82.26</v>
      </c>
      <c r="J485" s="3204">
        <v>1</v>
      </c>
    </row>
    <row r="486" spans="1:10">
      <c r="A486" s="3204">
        <v>485</v>
      </c>
      <c r="B486" s="3204">
        <v>2</v>
      </c>
      <c r="C486" s="3204">
        <v>6</v>
      </c>
      <c r="D486" s="3204">
        <v>5</v>
      </c>
      <c r="E486" s="3204">
        <v>501</v>
      </c>
      <c r="F486" s="3206" t="s">
        <v>3526</v>
      </c>
      <c r="G486" s="3202" t="s">
        <v>3527</v>
      </c>
      <c r="H486" s="3202" t="s">
        <v>3448</v>
      </c>
      <c r="I486" s="3212">
        <v>85.04</v>
      </c>
      <c r="J486" s="3204">
        <v>1</v>
      </c>
    </row>
    <row r="487" spans="1:10">
      <c r="A487" s="3204">
        <v>486</v>
      </c>
      <c r="B487" s="3204">
        <v>2</v>
      </c>
      <c r="C487" s="3204">
        <v>6</v>
      </c>
      <c r="D487" s="3204">
        <v>5</v>
      </c>
      <c r="E487" s="3204">
        <v>502</v>
      </c>
      <c r="F487" s="3206" t="s">
        <v>3531</v>
      </c>
      <c r="G487" s="3202" t="s">
        <v>3527</v>
      </c>
      <c r="H487" s="3202" t="s">
        <v>3532</v>
      </c>
      <c r="I487" s="3212">
        <v>88.22</v>
      </c>
      <c r="J487" s="3204">
        <v>1</v>
      </c>
    </row>
    <row r="488" spans="1:10">
      <c r="A488" s="3204">
        <v>487</v>
      </c>
      <c r="B488" s="3204">
        <v>2</v>
      </c>
      <c r="C488" s="3204">
        <v>6</v>
      </c>
      <c r="D488" s="3204">
        <v>5</v>
      </c>
      <c r="E488" s="3204">
        <v>503</v>
      </c>
      <c r="F488" s="3206" t="s">
        <v>3534</v>
      </c>
      <c r="G488" s="3202" t="s">
        <v>3527</v>
      </c>
      <c r="H488" s="3202" t="s">
        <v>3448</v>
      </c>
      <c r="I488" s="3212">
        <v>82.26</v>
      </c>
      <c r="J488" s="3204">
        <v>1</v>
      </c>
    </row>
    <row r="489" spans="1:10">
      <c r="A489" s="3204">
        <v>488</v>
      </c>
      <c r="B489" s="3204">
        <v>2</v>
      </c>
      <c r="C489" s="3204">
        <v>6</v>
      </c>
      <c r="D489" s="3204">
        <v>6</v>
      </c>
      <c r="E489" s="3204">
        <v>601</v>
      </c>
      <c r="F489" s="3206" t="s">
        <v>3526</v>
      </c>
      <c r="G489" s="3202" t="s">
        <v>3527</v>
      </c>
      <c r="H489" s="3202" t="s">
        <v>3448</v>
      </c>
      <c r="I489" s="3212">
        <v>85.04</v>
      </c>
      <c r="J489" s="3204">
        <v>1</v>
      </c>
    </row>
    <row r="490" spans="1:10">
      <c r="A490" s="3204">
        <v>489</v>
      </c>
      <c r="B490" s="3204">
        <v>2</v>
      </c>
      <c r="C490" s="3204">
        <v>6</v>
      </c>
      <c r="D490" s="3204">
        <v>6</v>
      </c>
      <c r="E490" s="3204">
        <v>602</v>
      </c>
      <c r="F490" s="3206" t="s">
        <v>3531</v>
      </c>
      <c r="G490" s="3202" t="s">
        <v>3527</v>
      </c>
      <c r="H490" s="3202" t="s">
        <v>3532</v>
      </c>
      <c r="I490" s="3212">
        <v>88.22</v>
      </c>
      <c r="J490" s="3204">
        <v>1</v>
      </c>
    </row>
    <row r="491" spans="1:10">
      <c r="A491" s="3204">
        <v>490</v>
      </c>
      <c r="B491" s="3204">
        <v>2</v>
      </c>
      <c r="C491" s="3204">
        <v>6</v>
      </c>
      <c r="D491" s="3204">
        <v>6</v>
      </c>
      <c r="E491" s="3204">
        <v>603</v>
      </c>
      <c r="F491" s="3206" t="s">
        <v>3534</v>
      </c>
      <c r="G491" s="3202" t="s">
        <v>3527</v>
      </c>
      <c r="H491" s="3202" t="s">
        <v>3448</v>
      </c>
      <c r="I491" s="3212">
        <v>82.26</v>
      </c>
      <c r="J491" s="3204">
        <v>1</v>
      </c>
    </row>
    <row r="492" spans="1:10">
      <c r="A492" s="3204">
        <v>491</v>
      </c>
      <c r="B492" s="3204">
        <v>2</v>
      </c>
      <c r="C492" s="3204">
        <v>7</v>
      </c>
      <c r="D492" s="3204">
        <v>2</v>
      </c>
      <c r="E492" s="3204">
        <v>201</v>
      </c>
      <c r="F492" s="3206" t="s">
        <v>3568</v>
      </c>
      <c r="G492" s="3202" t="s">
        <v>3527</v>
      </c>
      <c r="H492" s="3202" t="s">
        <v>3448</v>
      </c>
      <c r="I492" s="3212">
        <v>88.42</v>
      </c>
      <c r="J492" s="3204">
        <v>1</v>
      </c>
    </row>
    <row r="493" spans="1:10">
      <c r="A493" s="3204">
        <v>492</v>
      </c>
      <c r="B493" s="3204">
        <v>2</v>
      </c>
      <c r="C493" s="3204">
        <v>7</v>
      </c>
      <c r="D493" s="3204">
        <v>2</v>
      </c>
      <c r="E493" s="3204">
        <v>202</v>
      </c>
      <c r="F493" s="3206" t="s">
        <v>3539</v>
      </c>
      <c r="G493" s="3202" t="s">
        <v>3527</v>
      </c>
      <c r="H493" s="3202" t="s">
        <v>3532</v>
      </c>
      <c r="I493" s="3212">
        <v>88.14</v>
      </c>
      <c r="J493" s="3204">
        <v>1</v>
      </c>
    </row>
    <row r="494" spans="1:10">
      <c r="A494" s="3204">
        <v>493</v>
      </c>
      <c r="B494" s="3204">
        <v>2</v>
      </c>
      <c r="C494" s="3204">
        <v>7</v>
      </c>
      <c r="D494" s="3204">
        <v>2</v>
      </c>
      <c r="E494" s="3204">
        <v>203</v>
      </c>
      <c r="F494" s="3206" t="s">
        <v>3571</v>
      </c>
      <c r="G494" s="3202" t="s">
        <v>3527</v>
      </c>
      <c r="H494" s="3202" t="s">
        <v>3448</v>
      </c>
      <c r="I494" s="3212">
        <v>77.28</v>
      </c>
      <c r="J494" s="3204">
        <v>1</v>
      </c>
    </row>
    <row r="495" spans="1:10">
      <c r="A495" s="3204">
        <v>494</v>
      </c>
      <c r="B495" s="3204">
        <v>2</v>
      </c>
      <c r="C495" s="3204">
        <v>7</v>
      </c>
      <c r="D495" s="3204">
        <v>3</v>
      </c>
      <c r="E495" s="3204">
        <v>301</v>
      </c>
      <c r="F495" s="3206" t="s">
        <v>3568</v>
      </c>
      <c r="G495" s="3202" t="s">
        <v>3527</v>
      </c>
      <c r="H495" s="3202" t="s">
        <v>3448</v>
      </c>
      <c r="I495" s="3212">
        <v>88.42</v>
      </c>
      <c r="J495" s="3204">
        <v>1</v>
      </c>
    </row>
    <row r="496" spans="1:10">
      <c r="A496" s="3204">
        <v>495</v>
      </c>
      <c r="B496" s="3204">
        <v>2</v>
      </c>
      <c r="C496" s="3204">
        <v>7</v>
      </c>
      <c r="D496" s="3204">
        <v>3</v>
      </c>
      <c r="E496" s="3204">
        <v>302</v>
      </c>
      <c r="F496" s="3206" t="s">
        <v>3539</v>
      </c>
      <c r="G496" s="3202" t="s">
        <v>3527</v>
      </c>
      <c r="H496" s="3202" t="s">
        <v>3532</v>
      </c>
      <c r="I496" s="3212">
        <v>88.14</v>
      </c>
      <c r="J496" s="3204">
        <v>1</v>
      </c>
    </row>
    <row r="497" spans="1:10">
      <c r="A497" s="3204">
        <v>496</v>
      </c>
      <c r="B497" s="3204">
        <v>2</v>
      </c>
      <c r="C497" s="3204">
        <v>7</v>
      </c>
      <c r="D497" s="3204">
        <v>3</v>
      </c>
      <c r="E497" s="3204">
        <v>303</v>
      </c>
      <c r="F497" s="3206" t="s">
        <v>3571</v>
      </c>
      <c r="G497" s="3202" t="s">
        <v>3527</v>
      </c>
      <c r="H497" s="3202" t="s">
        <v>3448</v>
      </c>
      <c r="I497" s="3212">
        <v>77.28</v>
      </c>
      <c r="J497" s="3204">
        <v>1</v>
      </c>
    </row>
    <row r="498" spans="1:10">
      <c r="A498" s="3204">
        <v>497</v>
      </c>
      <c r="B498" s="3204">
        <v>2</v>
      </c>
      <c r="C498" s="3204">
        <v>7</v>
      </c>
      <c r="D498" s="3204">
        <v>4</v>
      </c>
      <c r="E498" s="3204">
        <v>401</v>
      </c>
      <c r="F498" s="3206" t="s">
        <v>3568</v>
      </c>
      <c r="G498" s="3202" t="s">
        <v>3527</v>
      </c>
      <c r="H498" s="3202" t="s">
        <v>3448</v>
      </c>
      <c r="I498" s="3212">
        <v>88.42</v>
      </c>
      <c r="J498" s="3204">
        <v>1</v>
      </c>
    </row>
    <row r="499" spans="1:10">
      <c r="A499" s="3204">
        <v>498</v>
      </c>
      <c r="B499" s="3204">
        <v>2</v>
      </c>
      <c r="C499" s="3204">
        <v>7</v>
      </c>
      <c r="D499" s="3204">
        <v>4</v>
      </c>
      <c r="E499" s="3204">
        <v>402</v>
      </c>
      <c r="F499" s="3206" t="s">
        <v>3539</v>
      </c>
      <c r="G499" s="3202" t="s">
        <v>3527</v>
      </c>
      <c r="H499" s="3202" t="s">
        <v>3532</v>
      </c>
      <c r="I499" s="3212">
        <v>88.14</v>
      </c>
      <c r="J499" s="3204">
        <v>1</v>
      </c>
    </row>
    <row r="500" spans="1:10">
      <c r="A500" s="3204">
        <v>499</v>
      </c>
      <c r="B500" s="3204">
        <v>2</v>
      </c>
      <c r="C500" s="3204">
        <v>7</v>
      </c>
      <c r="D500" s="3204">
        <v>4</v>
      </c>
      <c r="E500" s="3204">
        <v>403</v>
      </c>
      <c r="F500" s="3206" t="s">
        <v>3571</v>
      </c>
      <c r="G500" s="3202" t="s">
        <v>3527</v>
      </c>
      <c r="H500" s="3202" t="s">
        <v>3448</v>
      </c>
      <c r="I500" s="3212">
        <v>77.28</v>
      </c>
      <c r="J500" s="3204">
        <v>1</v>
      </c>
    </row>
    <row r="501" spans="1:10">
      <c r="A501" s="3204">
        <v>500</v>
      </c>
      <c r="B501" s="3204">
        <v>2</v>
      </c>
      <c r="C501" s="3204">
        <v>7</v>
      </c>
      <c r="D501" s="3204">
        <v>5</v>
      </c>
      <c r="E501" s="3204">
        <v>501</v>
      </c>
      <c r="F501" s="3206" t="s">
        <v>3568</v>
      </c>
      <c r="G501" s="3202" t="s">
        <v>3527</v>
      </c>
      <c r="H501" s="3202" t="s">
        <v>3448</v>
      </c>
      <c r="I501" s="3212">
        <v>88.42</v>
      </c>
      <c r="J501" s="3204">
        <v>1</v>
      </c>
    </row>
    <row r="502" spans="1:10">
      <c r="A502" s="3204">
        <v>501</v>
      </c>
      <c r="B502" s="3204">
        <v>2</v>
      </c>
      <c r="C502" s="3204">
        <v>7</v>
      </c>
      <c r="D502" s="3204">
        <v>5</v>
      </c>
      <c r="E502" s="3204">
        <v>502</v>
      </c>
      <c r="F502" s="3206" t="s">
        <v>3539</v>
      </c>
      <c r="G502" s="3202" t="s">
        <v>3527</v>
      </c>
      <c r="H502" s="3202" t="s">
        <v>3532</v>
      </c>
      <c r="I502" s="3212">
        <v>88.14</v>
      </c>
      <c r="J502" s="3204">
        <v>1</v>
      </c>
    </row>
    <row r="503" spans="1:10">
      <c r="A503" s="3204">
        <v>502</v>
      </c>
      <c r="B503" s="3204">
        <v>2</v>
      </c>
      <c r="C503" s="3204">
        <v>7</v>
      </c>
      <c r="D503" s="3204">
        <v>5</v>
      </c>
      <c r="E503" s="3204">
        <v>503</v>
      </c>
      <c r="F503" s="3206" t="s">
        <v>3571</v>
      </c>
      <c r="G503" s="3202" t="s">
        <v>3527</v>
      </c>
      <c r="H503" s="3202" t="s">
        <v>3448</v>
      </c>
      <c r="I503" s="3212">
        <v>77.28</v>
      </c>
      <c r="J503" s="3204">
        <v>1</v>
      </c>
    </row>
    <row r="504" spans="1:10">
      <c r="A504" s="3204">
        <v>503</v>
      </c>
      <c r="B504" s="3204">
        <v>2</v>
      </c>
      <c r="C504" s="3204">
        <v>7</v>
      </c>
      <c r="D504" s="3204">
        <v>6</v>
      </c>
      <c r="E504" s="3204">
        <v>601</v>
      </c>
      <c r="F504" s="3206" t="s">
        <v>3568</v>
      </c>
      <c r="G504" s="3202" t="s">
        <v>3527</v>
      </c>
      <c r="H504" s="3202" t="s">
        <v>3448</v>
      </c>
      <c r="I504" s="3212">
        <v>88.42</v>
      </c>
      <c r="J504" s="3204">
        <v>1</v>
      </c>
    </row>
    <row r="505" spans="1:10">
      <c r="A505" s="3204">
        <v>504</v>
      </c>
      <c r="B505" s="3204">
        <v>2</v>
      </c>
      <c r="C505" s="3204">
        <v>7</v>
      </c>
      <c r="D505" s="3204">
        <v>6</v>
      </c>
      <c r="E505" s="3204">
        <v>602</v>
      </c>
      <c r="F505" s="3206" t="s">
        <v>3539</v>
      </c>
      <c r="G505" s="3202" t="s">
        <v>3527</v>
      </c>
      <c r="H505" s="3202" t="s">
        <v>3532</v>
      </c>
      <c r="I505" s="3212">
        <v>88.14</v>
      </c>
      <c r="J505" s="3204">
        <v>1</v>
      </c>
    </row>
    <row r="506" spans="1:10">
      <c r="A506" s="3204">
        <v>505</v>
      </c>
      <c r="B506" s="3204">
        <v>2</v>
      </c>
      <c r="C506" s="3204">
        <v>7</v>
      </c>
      <c r="D506" s="3204">
        <v>6</v>
      </c>
      <c r="E506" s="3204">
        <v>603</v>
      </c>
      <c r="F506" s="3206" t="s">
        <v>3571</v>
      </c>
      <c r="G506" s="3202" t="s">
        <v>3527</v>
      </c>
      <c r="H506" s="3202" t="s">
        <v>3448</v>
      </c>
      <c r="I506" s="3212">
        <v>77.28</v>
      </c>
      <c r="J506" s="3204">
        <v>1</v>
      </c>
    </row>
    <row r="507" spans="1:10">
      <c r="A507" s="3204">
        <v>506</v>
      </c>
      <c r="B507" s="3204">
        <v>2</v>
      </c>
      <c r="C507" s="3204">
        <v>8</v>
      </c>
      <c r="D507" s="3204">
        <v>2</v>
      </c>
      <c r="E507" s="3204">
        <v>201</v>
      </c>
      <c r="F507" s="3206" t="s">
        <v>3572</v>
      </c>
      <c r="G507" s="3202" t="s">
        <v>3527</v>
      </c>
      <c r="H507" s="3202" t="s">
        <v>3448</v>
      </c>
      <c r="I507" s="3212">
        <v>76.3</v>
      </c>
      <c r="J507" s="3204">
        <v>1</v>
      </c>
    </row>
    <row r="508" spans="1:10">
      <c r="A508" s="3204">
        <v>507</v>
      </c>
      <c r="B508" s="3204">
        <v>2</v>
      </c>
      <c r="C508" s="3204">
        <v>8</v>
      </c>
      <c r="D508" s="3204">
        <v>2</v>
      </c>
      <c r="E508" s="3204">
        <v>202</v>
      </c>
      <c r="F508" s="3206" t="s">
        <v>3580</v>
      </c>
      <c r="G508" s="3202" t="s">
        <v>3527</v>
      </c>
      <c r="H508" s="3202" t="s">
        <v>3579</v>
      </c>
      <c r="I508" s="3212">
        <v>68.400000000000006</v>
      </c>
      <c r="J508" s="3204">
        <v>1</v>
      </c>
    </row>
    <row r="509" spans="1:10">
      <c r="A509" s="3204">
        <v>508</v>
      </c>
      <c r="B509" s="3204">
        <v>2</v>
      </c>
      <c r="C509" s="3204">
        <v>8</v>
      </c>
      <c r="D509" s="3204">
        <v>2</v>
      </c>
      <c r="E509" s="3204">
        <v>203</v>
      </c>
      <c r="F509" s="3206" t="s">
        <v>3582</v>
      </c>
      <c r="G509" s="3202" t="s">
        <v>3581</v>
      </c>
      <c r="H509" s="3202" t="s">
        <v>3547</v>
      </c>
      <c r="I509" s="3212">
        <v>87.21</v>
      </c>
      <c r="J509" s="3204">
        <v>1</v>
      </c>
    </row>
    <row r="510" spans="1:10">
      <c r="A510" s="3204">
        <v>509</v>
      </c>
      <c r="B510" s="3204">
        <v>2</v>
      </c>
      <c r="C510" s="3204">
        <v>8</v>
      </c>
      <c r="D510" s="3204">
        <v>3</v>
      </c>
      <c r="E510" s="3204">
        <v>301</v>
      </c>
      <c r="F510" s="3206" t="s">
        <v>3572</v>
      </c>
      <c r="G510" s="3202" t="s">
        <v>3527</v>
      </c>
      <c r="H510" s="3202" t="s">
        <v>3448</v>
      </c>
      <c r="I510" s="3212">
        <v>76.3</v>
      </c>
      <c r="J510" s="3204">
        <v>1</v>
      </c>
    </row>
    <row r="511" spans="1:10">
      <c r="A511" s="3204">
        <v>510</v>
      </c>
      <c r="B511" s="3204">
        <v>2</v>
      </c>
      <c r="C511" s="3204">
        <v>8</v>
      </c>
      <c r="D511" s="3204">
        <v>3</v>
      </c>
      <c r="E511" s="3204">
        <v>302</v>
      </c>
      <c r="F511" s="3206" t="s">
        <v>3580</v>
      </c>
      <c r="G511" s="3202" t="s">
        <v>3527</v>
      </c>
      <c r="H511" s="3202" t="s">
        <v>3579</v>
      </c>
      <c r="I511" s="3212">
        <v>68.400000000000006</v>
      </c>
      <c r="J511" s="3204">
        <v>1</v>
      </c>
    </row>
    <row r="512" spans="1:10">
      <c r="A512" s="3204">
        <v>511</v>
      </c>
      <c r="B512" s="3204">
        <v>2</v>
      </c>
      <c r="C512" s="3204">
        <v>8</v>
      </c>
      <c r="D512" s="3204">
        <v>3</v>
      </c>
      <c r="E512" s="3204">
        <v>303</v>
      </c>
      <c r="F512" s="3206" t="s">
        <v>3582</v>
      </c>
      <c r="G512" s="3202" t="s">
        <v>3581</v>
      </c>
      <c r="H512" s="3202" t="s">
        <v>3547</v>
      </c>
      <c r="I512" s="3212">
        <v>87.21</v>
      </c>
      <c r="J512" s="3204">
        <v>1</v>
      </c>
    </row>
    <row r="513" spans="1:10">
      <c r="A513" s="3204">
        <v>512</v>
      </c>
      <c r="B513" s="3204">
        <v>2</v>
      </c>
      <c r="C513" s="3204">
        <v>8</v>
      </c>
      <c r="D513" s="3204">
        <v>4</v>
      </c>
      <c r="E513" s="3204">
        <v>401</v>
      </c>
      <c r="F513" s="3206" t="s">
        <v>3572</v>
      </c>
      <c r="G513" s="3202" t="s">
        <v>3527</v>
      </c>
      <c r="H513" s="3202" t="s">
        <v>3448</v>
      </c>
      <c r="I513" s="3212">
        <v>76.3</v>
      </c>
      <c r="J513" s="3204">
        <v>1</v>
      </c>
    </row>
    <row r="514" spans="1:10">
      <c r="A514" s="3204">
        <v>513</v>
      </c>
      <c r="B514" s="3204">
        <v>2</v>
      </c>
      <c r="C514" s="3204">
        <v>8</v>
      </c>
      <c r="D514" s="3204">
        <v>4</v>
      </c>
      <c r="E514" s="3204">
        <v>402</v>
      </c>
      <c r="F514" s="3206" t="s">
        <v>3580</v>
      </c>
      <c r="G514" s="3202" t="s">
        <v>3527</v>
      </c>
      <c r="H514" s="3202" t="s">
        <v>3579</v>
      </c>
      <c r="I514" s="3212">
        <v>68.400000000000006</v>
      </c>
      <c r="J514" s="3204">
        <v>1</v>
      </c>
    </row>
    <row r="515" spans="1:10">
      <c r="A515" s="3204">
        <v>514</v>
      </c>
      <c r="B515" s="3204">
        <v>2</v>
      </c>
      <c r="C515" s="3204">
        <v>8</v>
      </c>
      <c r="D515" s="3204">
        <v>4</v>
      </c>
      <c r="E515" s="3204">
        <v>403</v>
      </c>
      <c r="F515" s="3206" t="s">
        <v>3582</v>
      </c>
      <c r="G515" s="3202" t="s">
        <v>3581</v>
      </c>
      <c r="H515" s="3202" t="s">
        <v>3547</v>
      </c>
      <c r="I515" s="3212">
        <v>87.21</v>
      </c>
      <c r="J515" s="3204">
        <v>1</v>
      </c>
    </row>
    <row r="516" spans="1:10">
      <c r="A516" s="3204">
        <v>515</v>
      </c>
      <c r="B516" s="3204">
        <v>2</v>
      </c>
      <c r="C516" s="3204">
        <v>8</v>
      </c>
      <c r="D516" s="3204">
        <v>5</v>
      </c>
      <c r="E516" s="3204">
        <v>501</v>
      </c>
      <c r="F516" s="3206" t="s">
        <v>3572</v>
      </c>
      <c r="G516" s="3202" t="s">
        <v>3527</v>
      </c>
      <c r="H516" s="3202" t="s">
        <v>3448</v>
      </c>
      <c r="I516" s="3212">
        <v>76.3</v>
      </c>
      <c r="J516" s="3204">
        <v>1</v>
      </c>
    </row>
    <row r="517" spans="1:10">
      <c r="A517" s="3204">
        <v>516</v>
      </c>
      <c r="B517" s="3204">
        <v>2</v>
      </c>
      <c r="C517" s="3204">
        <v>8</v>
      </c>
      <c r="D517" s="3204">
        <v>5</v>
      </c>
      <c r="E517" s="3204">
        <v>502</v>
      </c>
      <c r="F517" s="3206" t="s">
        <v>3580</v>
      </c>
      <c r="G517" s="3202" t="s">
        <v>3527</v>
      </c>
      <c r="H517" s="3202" t="s">
        <v>3579</v>
      </c>
      <c r="I517" s="3212">
        <v>68.400000000000006</v>
      </c>
      <c r="J517" s="3204">
        <v>1</v>
      </c>
    </row>
    <row r="518" spans="1:10">
      <c r="A518" s="3204">
        <v>517</v>
      </c>
      <c r="B518" s="3204">
        <v>2</v>
      </c>
      <c r="C518" s="3204">
        <v>8</v>
      </c>
      <c r="D518" s="3204">
        <v>5</v>
      </c>
      <c r="E518" s="3204">
        <v>503</v>
      </c>
      <c r="F518" s="3206" t="s">
        <v>3582</v>
      </c>
      <c r="G518" s="3202" t="s">
        <v>3581</v>
      </c>
      <c r="H518" s="3202" t="s">
        <v>3547</v>
      </c>
      <c r="I518" s="3212">
        <v>87.21</v>
      </c>
      <c r="J518" s="3204">
        <v>1</v>
      </c>
    </row>
    <row r="519" spans="1:10">
      <c r="A519" s="3204">
        <v>518</v>
      </c>
      <c r="B519" s="3204">
        <v>2</v>
      </c>
      <c r="C519" s="3204">
        <v>8</v>
      </c>
      <c r="D519" s="3204">
        <v>6</v>
      </c>
      <c r="E519" s="3204">
        <v>601</v>
      </c>
      <c r="F519" s="3206" t="s">
        <v>3572</v>
      </c>
      <c r="G519" s="3202" t="s">
        <v>3527</v>
      </c>
      <c r="H519" s="3202" t="s">
        <v>3448</v>
      </c>
      <c r="I519" s="3212">
        <v>76.3</v>
      </c>
      <c r="J519" s="3204">
        <v>1</v>
      </c>
    </row>
    <row r="520" spans="1:10">
      <c r="A520" s="3204">
        <v>519</v>
      </c>
      <c r="B520" s="3204">
        <v>2</v>
      </c>
      <c r="C520" s="3204">
        <v>8</v>
      </c>
      <c r="D520" s="3204">
        <v>6</v>
      </c>
      <c r="E520" s="3204">
        <v>602</v>
      </c>
      <c r="F520" s="3206" t="s">
        <v>3580</v>
      </c>
      <c r="G520" s="3202" t="s">
        <v>3527</v>
      </c>
      <c r="H520" s="3202" t="s">
        <v>3579</v>
      </c>
      <c r="I520" s="3212">
        <v>68.400000000000006</v>
      </c>
      <c r="J520" s="3204">
        <v>1</v>
      </c>
    </row>
    <row r="521" spans="1:10">
      <c r="A521" s="3204">
        <v>520</v>
      </c>
      <c r="B521" s="3204">
        <v>2</v>
      </c>
      <c r="C521" s="3204">
        <v>8</v>
      </c>
      <c r="D521" s="3204">
        <v>6</v>
      </c>
      <c r="E521" s="3204">
        <v>603</v>
      </c>
      <c r="F521" s="3206" t="s">
        <v>3582</v>
      </c>
      <c r="G521" s="3202" t="s">
        <v>3581</v>
      </c>
      <c r="H521" s="3202" t="s">
        <v>3547</v>
      </c>
      <c r="I521" s="3212">
        <v>87.21</v>
      </c>
      <c r="J521" s="3204">
        <v>1</v>
      </c>
    </row>
    <row r="522" spans="1:10">
      <c r="A522" s="3204">
        <v>521</v>
      </c>
      <c r="B522" s="3204">
        <v>2</v>
      </c>
      <c r="C522" s="3204">
        <v>9</v>
      </c>
      <c r="D522" s="3204">
        <v>1</v>
      </c>
      <c r="E522" s="3204">
        <v>101</v>
      </c>
      <c r="F522" s="3206" t="s">
        <v>3554</v>
      </c>
      <c r="G522" s="3202" t="s">
        <v>3527</v>
      </c>
      <c r="H522" s="3202" t="s">
        <v>3547</v>
      </c>
      <c r="I522" s="3212">
        <v>85.02</v>
      </c>
      <c r="J522" s="3204">
        <v>1</v>
      </c>
    </row>
    <row r="523" spans="1:10">
      <c r="A523" s="3204">
        <v>522</v>
      </c>
      <c r="B523" s="3204">
        <v>2</v>
      </c>
      <c r="C523" s="3204">
        <v>9</v>
      </c>
      <c r="D523" s="3204">
        <v>1</v>
      </c>
      <c r="E523" s="3204">
        <v>102</v>
      </c>
      <c r="F523" s="3206" t="s">
        <v>3539</v>
      </c>
      <c r="G523" s="3202" t="s">
        <v>3527</v>
      </c>
      <c r="H523" s="3202" t="s">
        <v>3578</v>
      </c>
      <c r="I523" s="3212">
        <v>88.02</v>
      </c>
      <c r="J523" s="3204">
        <v>1</v>
      </c>
    </row>
    <row r="524" spans="1:10">
      <c r="A524" s="3204">
        <v>523</v>
      </c>
      <c r="B524" s="3204">
        <v>2</v>
      </c>
      <c r="C524" s="3204">
        <v>9</v>
      </c>
      <c r="D524" s="3204">
        <v>1</v>
      </c>
      <c r="E524" s="3204">
        <v>103</v>
      </c>
      <c r="F524" s="3206" t="s">
        <v>3593</v>
      </c>
      <c r="G524" s="3202" t="s">
        <v>3585</v>
      </c>
      <c r="H524" s="3202" t="s">
        <v>3532</v>
      </c>
      <c r="I524" s="3212">
        <v>72.83</v>
      </c>
      <c r="J524" s="3204">
        <v>1</v>
      </c>
    </row>
    <row r="525" spans="1:10">
      <c r="A525" s="3204">
        <v>524</v>
      </c>
      <c r="B525" s="3204">
        <v>2</v>
      </c>
      <c r="C525" s="3204">
        <v>9</v>
      </c>
      <c r="D525" s="3204">
        <v>2</v>
      </c>
      <c r="E525" s="3204">
        <v>201</v>
      </c>
      <c r="F525" s="3206" t="s">
        <v>3554</v>
      </c>
      <c r="G525" s="3202" t="s">
        <v>3527</v>
      </c>
      <c r="H525" s="3202" t="s">
        <v>3547</v>
      </c>
      <c r="I525" s="3212">
        <v>85.02</v>
      </c>
      <c r="J525" s="3204">
        <v>1</v>
      </c>
    </row>
    <row r="526" spans="1:10">
      <c r="A526" s="3204">
        <v>525</v>
      </c>
      <c r="B526" s="3204">
        <v>2</v>
      </c>
      <c r="C526" s="3204">
        <v>9</v>
      </c>
      <c r="D526" s="3204">
        <v>2</v>
      </c>
      <c r="E526" s="3204">
        <v>202</v>
      </c>
      <c r="F526" s="3206" t="s">
        <v>3539</v>
      </c>
      <c r="G526" s="3202" t="s">
        <v>3527</v>
      </c>
      <c r="H526" s="3202" t="s">
        <v>3578</v>
      </c>
      <c r="I526" s="3212">
        <v>88.02</v>
      </c>
      <c r="J526" s="3204">
        <v>1</v>
      </c>
    </row>
    <row r="527" spans="1:10">
      <c r="A527" s="3204">
        <v>526</v>
      </c>
      <c r="B527" s="3204">
        <v>2</v>
      </c>
      <c r="C527" s="3204">
        <v>9</v>
      </c>
      <c r="D527" s="3204">
        <v>2</v>
      </c>
      <c r="E527" s="3204">
        <v>203</v>
      </c>
      <c r="F527" s="3206" t="s">
        <v>3569</v>
      </c>
      <c r="G527" s="3202" t="s">
        <v>3527</v>
      </c>
      <c r="H527" s="3202" t="s">
        <v>3532</v>
      </c>
      <c r="I527" s="3212">
        <v>89.17</v>
      </c>
      <c r="J527" s="3204">
        <v>1</v>
      </c>
    </row>
    <row r="528" spans="1:10">
      <c r="A528" s="3204">
        <v>527</v>
      </c>
      <c r="B528" s="3204">
        <v>2</v>
      </c>
      <c r="C528" s="3204">
        <v>9</v>
      </c>
      <c r="D528" s="3204">
        <v>3</v>
      </c>
      <c r="E528" s="3204">
        <v>301</v>
      </c>
      <c r="F528" s="3206" t="s">
        <v>3554</v>
      </c>
      <c r="G528" s="3202" t="s">
        <v>3527</v>
      </c>
      <c r="H528" s="3202" t="s">
        <v>3547</v>
      </c>
      <c r="I528" s="3212">
        <v>85.02</v>
      </c>
      <c r="J528" s="3204">
        <v>1</v>
      </c>
    </row>
    <row r="529" spans="1:10">
      <c r="A529" s="3204">
        <v>528</v>
      </c>
      <c r="B529" s="3204">
        <v>2</v>
      </c>
      <c r="C529" s="3204">
        <v>9</v>
      </c>
      <c r="D529" s="3204">
        <v>3</v>
      </c>
      <c r="E529" s="3204">
        <v>302</v>
      </c>
      <c r="F529" s="3206" t="s">
        <v>3539</v>
      </c>
      <c r="G529" s="3202" t="s">
        <v>3527</v>
      </c>
      <c r="H529" s="3202" t="s">
        <v>3578</v>
      </c>
      <c r="I529" s="3212">
        <v>88.02</v>
      </c>
      <c r="J529" s="3204">
        <v>1</v>
      </c>
    </row>
    <row r="530" spans="1:10">
      <c r="A530" s="3204">
        <v>529</v>
      </c>
      <c r="B530" s="3204">
        <v>2</v>
      </c>
      <c r="C530" s="3204">
        <v>9</v>
      </c>
      <c r="D530" s="3204">
        <v>3</v>
      </c>
      <c r="E530" s="3204">
        <v>303</v>
      </c>
      <c r="F530" s="3206" t="s">
        <v>3569</v>
      </c>
      <c r="G530" s="3202" t="s">
        <v>3527</v>
      </c>
      <c r="H530" s="3202" t="s">
        <v>3532</v>
      </c>
      <c r="I530" s="3212">
        <v>89.17</v>
      </c>
      <c r="J530" s="3204">
        <v>1</v>
      </c>
    </row>
    <row r="531" spans="1:10">
      <c r="A531" s="3204">
        <v>530</v>
      </c>
      <c r="B531" s="3204">
        <v>2</v>
      </c>
      <c r="C531" s="3204">
        <v>9</v>
      </c>
      <c r="D531" s="3204">
        <v>4</v>
      </c>
      <c r="E531" s="3204">
        <v>401</v>
      </c>
      <c r="F531" s="3206" t="s">
        <v>3554</v>
      </c>
      <c r="G531" s="3202" t="s">
        <v>3527</v>
      </c>
      <c r="H531" s="3202" t="s">
        <v>3547</v>
      </c>
      <c r="I531" s="3212">
        <v>85.02</v>
      </c>
      <c r="J531" s="3204">
        <v>1</v>
      </c>
    </row>
    <row r="532" spans="1:10">
      <c r="A532" s="3204">
        <v>531</v>
      </c>
      <c r="B532" s="3204">
        <v>2</v>
      </c>
      <c r="C532" s="3204">
        <v>9</v>
      </c>
      <c r="D532" s="3204">
        <v>4</v>
      </c>
      <c r="E532" s="3204">
        <v>402</v>
      </c>
      <c r="F532" s="3206" t="s">
        <v>3539</v>
      </c>
      <c r="G532" s="3202" t="s">
        <v>3527</v>
      </c>
      <c r="H532" s="3202" t="s">
        <v>3578</v>
      </c>
      <c r="I532" s="3212">
        <v>88.02</v>
      </c>
      <c r="J532" s="3204">
        <v>1</v>
      </c>
    </row>
    <row r="533" spans="1:10">
      <c r="A533" s="3204">
        <v>532</v>
      </c>
      <c r="B533" s="3204">
        <v>2</v>
      </c>
      <c r="C533" s="3204">
        <v>9</v>
      </c>
      <c r="D533" s="3204">
        <v>4</v>
      </c>
      <c r="E533" s="3204">
        <v>403</v>
      </c>
      <c r="F533" s="3206" t="s">
        <v>3569</v>
      </c>
      <c r="G533" s="3202" t="s">
        <v>3527</v>
      </c>
      <c r="H533" s="3202" t="s">
        <v>3532</v>
      </c>
      <c r="I533" s="3212">
        <v>89.17</v>
      </c>
      <c r="J533" s="3204">
        <v>1</v>
      </c>
    </row>
    <row r="534" spans="1:10">
      <c r="A534" s="3204">
        <v>533</v>
      </c>
      <c r="B534" s="3204">
        <v>2</v>
      </c>
      <c r="C534" s="3204">
        <v>9</v>
      </c>
      <c r="D534" s="3204">
        <v>5</v>
      </c>
      <c r="E534" s="3204">
        <v>501</v>
      </c>
      <c r="F534" s="3206" t="s">
        <v>3554</v>
      </c>
      <c r="G534" s="3202" t="s">
        <v>3527</v>
      </c>
      <c r="H534" s="3202" t="s">
        <v>3547</v>
      </c>
      <c r="I534" s="3212">
        <v>85.02</v>
      </c>
      <c r="J534" s="3204">
        <v>1</v>
      </c>
    </row>
    <row r="535" spans="1:10">
      <c r="A535" s="3204">
        <v>534</v>
      </c>
      <c r="B535" s="3204">
        <v>2</v>
      </c>
      <c r="C535" s="3204">
        <v>9</v>
      </c>
      <c r="D535" s="3204">
        <v>5</v>
      </c>
      <c r="E535" s="3204">
        <v>502</v>
      </c>
      <c r="F535" s="3206" t="s">
        <v>3539</v>
      </c>
      <c r="G535" s="3202" t="s">
        <v>3527</v>
      </c>
      <c r="H535" s="3202" t="s">
        <v>3578</v>
      </c>
      <c r="I535" s="3212">
        <v>88.02</v>
      </c>
      <c r="J535" s="3204">
        <v>1</v>
      </c>
    </row>
    <row r="536" spans="1:10">
      <c r="A536" s="3204">
        <v>535</v>
      </c>
      <c r="B536" s="3204">
        <v>2</v>
      </c>
      <c r="C536" s="3204">
        <v>9</v>
      </c>
      <c r="D536" s="3204">
        <v>5</v>
      </c>
      <c r="E536" s="3204">
        <v>503</v>
      </c>
      <c r="F536" s="3206" t="s">
        <v>3569</v>
      </c>
      <c r="G536" s="3202" t="s">
        <v>3527</v>
      </c>
      <c r="H536" s="3202" t="s">
        <v>3532</v>
      </c>
      <c r="I536" s="3212">
        <v>89.17</v>
      </c>
      <c r="J536" s="3204">
        <v>1</v>
      </c>
    </row>
    <row r="537" spans="1:10">
      <c r="A537" s="3204">
        <v>536</v>
      </c>
      <c r="B537" s="3204">
        <v>2</v>
      </c>
      <c r="C537" s="3204">
        <v>9</v>
      </c>
      <c r="D537" s="3204">
        <v>6</v>
      </c>
      <c r="E537" s="3204">
        <v>601</v>
      </c>
      <c r="F537" s="3206" t="s">
        <v>3554</v>
      </c>
      <c r="G537" s="3202" t="s">
        <v>3527</v>
      </c>
      <c r="H537" s="3202" t="s">
        <v>3547</v>
      </c>
      <c r="I537" s="3212">
        <v>85.02</v>
      </c>
      <c r="J537" s="3204">
        <v>1</v>
      </c>
    </row>
    <row r="538" spans="1:10">
      <c r="A538" s="3204">
        <v>537</v>
      </c>
      <c r="B538" s="3204">
        <v>2</v>
      </c>
      <c r="C538" s="3204">
        <v>9</v>
      </c>
      <c r="D538" s="3204">
        <v>6</v>
      </c>
      <c r="E538" s="3204">
        <v>602</v>
      </c>
      <c r="F538" s="3206" t="s">
        <v>3539</v>
      </c>
      <c r="G538" s="3202" t="s">
        <v>3527</v>
      </c>
      <c r="H538" s="3202" t="s">
        <v>3578</v>
      </c>
      <c r="I538" s="3212">
        <v>88.02</v>
      </c>
      <c r="J538" s="3204">
        <v>1</v>
      </c>
    </row>
    <row r="539" spans="1:10">
      <c r="A539" s="3204">
        <v>538</v>
      </c>
      <c r="B539" s="3204">
        <v>2</v>
      </c>
      <c r="C539" s="3204">
        <v>9</v>
      </c>
      <c r="D539" s="3204">
        <v>6</v>
      </c>
      <c r="E539" s="3204">
        <v>603</v>
      </c>
      <c r="F539" s="3206" t="s">
        <v>3569</v>
      </c>
      <c r="G539" s="3202" t="s">
        <v>3527</v>
      </c>
      <c r="H539" s="3202" t="s">
        <v>3532</v>
      </c>
      <c r="I539" s="3212">
        <v>89.17</v>
      </c>
      <c r="J539" s="3204">
        <v>1</v>
      </c>
    </row>
    <row r="540" spans="1:10">
      <c r="A540" s="3204">
        <v>539</v>
      </c>
      <c r="B540" s="3204">
        <v>1</v>
      </c>
      <c r="C540" s="3204">
        <v>1</v>
      </c>
      <c r="D540" s="3204">
        <v>2</v>
      </c>
      <c r="E540" s="3204">
        <v>201</v>
      </c>
      <c r="F540" s="3206" t="s">
        <v>3577</v>
      </c>
      <c r="G540" s="3202" t="s">
        <v>3527</v>
      </c>
      <c r="H540" s="3202" t="s">
        <v>3448</v>
      </c>
      <c r="I540" s="3203">
        <v>87.79</v>
      </c>
      <c r="J540" s="3204">
        <v>1</v>
      </c>
    </row>
    <row r="541" spans="1:10">
      <c r="A541" s="3204">
        <v>540</v>
      </c>
      <c r="B541" s="3204">
        <v>1</v>
      </c>
      <c r="C541" s="3204">
        <v>1</v>
      </c>
      <c r="D541" s="3204">
        <v>2</v>
      </c>
      <c r="E541" s="3204">
        <v>202</v>
      </c>
      <c r="F541" s="3206" t="s">
        <v>3589</v>
      </c>
      <c r="G541" s="3202" t="s">
        <v>3585</v>
      </c>
      <c r="H541" s="3202" t="s">
        <v>3543</v>
      </c>
      <c r="I541" s="3203">
        <v>62.89</v>
      </c>
      <c r="J541" s="3204">
        <v>1</v>
      </c>
    </row>
    <row r="542" spans="1:10">
      <c r="A542" s="3204">
        <v>541</v>
      </c>
      <c r="B542" s="3204">
        <v>1</v>
      </c>
      <c r="C542" s="3204">
        <v>1</v>
      </c>
      <c r="D542" s="3204">
        <v>2</v>
      </c>
      <c r="E542" s="3204">
        <v>203</v>
      </c>
      <c r="F542" s="3206" t="s">
        <v>3588</v>
      </c>
      <c r="G542" s="3202" t="s">
        <v>3585</v>
      </c>
      <c r="H542" s="3202" t="s">
        <v>3536</v>
      </c>
      <c r="I542" s="3203">
        <v>54.89</v>
      </c>
      <c r="J542" s="3204">
        <v>1</v>
      </c>
    </row>
    <row r="543" spans="1:10">
      <c r="A543" s="3204">
        <v>542</v>
      </c>
      <c r="B543" s="3204">
        <v>1</v>
      </c>
      <c r="C543" s="3204">
        <v>1</v>
      </c>
      <c r="D543" s="3204">
        <v>2</v>
      </c>
      <c r="E543" s="3204">
        <v>204</v>
      </c>
      <c r="F543" s="3206" t="s">
        <v>3584</v>
      </c>
      <c r="G543" s="3202" t="s">
        <v>3581</v>
      </c>
      <c r="H543" s="3202" t="s">
        <v>3532</v>
      </c>
      <c r="I543" s="3203">
        <v>88.2</v>
      </c>
      <c r="J543" s="3204">
        <v>1</v>
      </c>
    </row>
    <row r="544" spans="1:10">
      <c r="A544" s="3204">
        <v>543</v>
      </c>
      <c r="B544" s="3204">
        <v>1</v>
      </c>
      <c r="C544" s="3204">
        <v>1</v>
      </c>
      <c r="D544" s="3204">
        <v>3</v>
      </c>
      <c r="E544" s="3204">
        <v>301</v>
      </c>
      <c r="F544" s="3206" t="s">
        <v>3577</v>
      </c>
      <c r="G544" s="3202" t="s">
        <v>3527</v>
      </c>
      <c r="H544" s="3202" t="s">
        <v>3448</v>
      </c>
      <c r="I544" s="3203">
        <v>87.79</v>
      </c>
      <c r="J544" s="3204">
        <v>1</v>
      </c>
    </row>
    <row r="545" spans="1:10">
      <c r="A545" s="3204">
        <v>544</v>
      </c>
      <c r="B545" s="3204">
        <v>1</v>
      </c>
      <c r="C545" s="3204">
        <v>1</v>
      </c>
      <c r="D545" s="3204">
        <v>3</v>
      </c>
      <c r="E545" s="3204">
        <v>302</v>
      </c>
      <c r="F545" s="3206" t="s">
        <v>3589</v>
      </c>
      <c r="G545" s="3202" t="s">
        <v>3585</v>
      </c>
      <c r="H545" s="3202" t="s">
        <v>3543</v>
      </c>
      <c r="I545" s="3203">
        <v>62.89</v>
      </c>
      <c r="J545" s="3204">
        <v>1</v>
      </c>
    </row>
    <row r="546" spans="1:10">
      <c r="A546" s="3204">
        <v>545</v>
      </c>
      <c r="B546" s="3204">
        <v>1</v>
      </c>
      <c r="C546" s="3204">
        <v>1</v>
      </c>
      <c r="D546" s="3204">
        <v>3</v>
      </c>
      <c r="E546" s="3204">
        <v>303</v>
      </c>
      <c r="F546" s="3206" t="s">
        <v>3588</v>
      </c>
      <c r="G546" s="3202" t="s">
        <v>3585</v>
      </c>
      <c r="H546" s="3202" t="s">
        <v>3536</v>
      </c>
      <c r="I546" s="3203">
        <v>54.89</v>
      </c>
      <c r="J546" s="3204">
        <v>1</v>
      </c>
    </row>
    <row r="547" spans="1:10">
      <c r="A547" s="3204">
        <v>546</v>
      </c>
      <c r="B547" s="3204">
        <v>1</v>
      </c>
      <c r="C547" s="3204">
        <v>1</v>
      </c>
      <c r="D547" s="3204">
        <v>3</v>
      </c>
      <c r="E547" s="3204">
        <v>304</v>
      </c>
      <c r="F547" s="3206" t="s">
        <v>3584</v>
      </c>
      <c r="G547" s="3202" t="s">
        <v>3581</v>
      </c>
      <c r="H547" s="3202" t="s">
        <v>3532</v>
      </c>
      <c r="I547" s="3203">
        <v>88.2</v>
      </c>
      <c r="J547" s="3204">
        <v>1</v>
      </c>
    </row>
    <row r="548" spans="1:10">
      <c r="A548" s="3204">
        <v>547</v>
      </c>
      <c r="B548" s="3204">
        <v>1</v>
      </c>
      <c r="C548" s="3204">
        <v>1</v>
      </c>
      <c r="D548" s="3204">
        <v>4</v>
      </c>
      <c r="E548" s="3204">
        <v>401</v>
      </c>
      <c r="F548" s="3206" t="s">
        <v>3577</v>
      </c>
      <c r="G548" s="3202" t="s">
        <v>3527</v>
      </c>
      <c r="H548" s="3202" t="s">
        <v>3448</v>
      </c>
      <c r="I548" s="3203">
        <v>87.79</v>
      </c>
      <c r="J548" s="3204">
        <v>1</v>
      </c>
    </row>
    <row r="549" spans="1:10">
      <c r="A549" s="3204">
        <v>548</v>
      </c>
      <c r="B549" s="3204">
        <v>1</v>
      </c>
      <c r="C549" s="3204">
        <v>1</v>
      </c>
      <c r="D549" s="3204">
        <v>4</v>
      </c>
      <c r="E549" s="3204">
        <v>402</v>
      </c>
      <c r="F549" s="3206" t="s">
        <v>3589</v>
      </c>
      <c r="G549" s="3202" t="s">
        <v>3585</v>
      </c>
      <c r="H549" s="3202" t="s">
        <v>3543</v>
      </c>
      <c r="I549" s="3203">
        <v>62.89</v>
      </c>
      <c r="J549" s="3204">
        <v>1</v>
      </c>
    </row>
    <row r="550" spans="1:10">
      <c r="A550" s="3204">
        <v>549</v>
      </c>
      <c r="B550" s="3204">
        <v>1</v>
      </c>
      <c r="C550" s="3204">
        <v>1</v>
      </c>
      <c r="D550" s="3204">
        <v>4</v>
      </c>
      <c r="E550" s="3204">
        <v>403</v>
      </c>
      <c r="F550" s="3206" t="s">
        <v>3588</v>
      </c>
      <c r="G550" s="3202" t="s">
        <v>3585</v>
      </c>
      <c r="H550" s="3202" t="s">
        <v>3536</v>
      </c>
      <c r="I550" s="3203">
        <v>54.89</v>
      </c>
      <c r="J550" s="3204">
        <v>1</v>
      </c>
    </row>
    <row r="551" spans="1:10">
      <c r="A551" s="3204">
        <v>550</v>
      </c>
      <c r="B551" s="3204">
        <v>1</v>
      </c>
      <c r="C551" s="3204">
        <v>1</v>
      </c>
      <c r="D551" s="3204">
        <v>4</v>
      </c>
      <c r="E551" s="3204">
        <v>404</v>
      </c>
      <c r="F551" s="3206" t="s">
        <v>3584</v>
      </c>
      <c r="G551" s="3202" t="s">
        <v>3581</v>
      </c>
      <c r="H551" s="3202" t="s">
        <v>3532</v>
      </c>
      <c r="I551" s="3203">
        <v>88.2</v>
      </c>
      <c r="J551" s="3204">
        <v>1</v>
      </c>
    </row>
    <row r="552" spans="1:10">
      <c r="A552" s="3204">
        <v>551</v>
      </c>
      <c r="B552" s="3204">
        <v>1</v>
      </c>
      <c r="C552" s="3204">
        <v>1</v>
      </c>
      <c r="D552" s="3204">
        <v>5</v>
      </c>
      <c r="E552" s="3204">
        <v>501</v>
      </c>
      <c r="F552" s="3206" t="s">
        <v>3577</v>
      </c>
      <c r="G552" s="3202" t="s">
        <v>3527</v>
      </c>
      <c r="H552" s="3202" t="s">
        <v>3448</v>
      </c>
      <c r="I552" s="3203">
        <v>87.79</v>
      </c>
      <c r="J552" s="3204">
        <v>1</v>
      </c>
    </row>
    <row r="553" spans="1:10">
      <c r="A553" s="3204">
        <v>552</v>
      </c>
      <c r="B553" s="3204">
        <v>1</v>
      </c>
      <c r="C553" s="3204">
        <v>1</v>
      </c>
      <c r="D553" s="3204">
        <v>5</v>
      </c>
      <c r="E553" s="3204">
        <v>502</v>
      </c>
      <c r="F553" s="3206" t="s">
        <v>3589</v>
      </c>
      <c r="G553" s="3202" t="s">
        <v>3585</v>
      </c>
      <c r="H553" s="3202" t="s">
        <v>3543</v>
      </c>
      <c r="I553" s="3203">
        <v>62.89</v>
      </c>
      <c r="J553" s="3204">
        <v>1</v>
      </c>
    </row>
    <row r="554" spans="1:10">
      <c r="A554" s="3204">
        <v>553</v>
      </c>
      <c r="B554" s="3204">
        <v>1</v>
      </c>
      <c r="C554" s="3204">
        <v>1</v>
      </c>
      <c r="D554" s="3204">
        <v>5</v>
      </c>
      <c r="E554" s="3204">
        <v>503</v>
      </c>
      <c r="F554" s="3206" t="s">
        <v>3588</v>
      </c>
      <c r="G554" s="3202" t="s">
        <v>3585</v>
      </c>
      <c r="H554" s="3202" t="s">
        <v>3536</v>
      </c>
      <c r="I554" s="3203">
        <v>54.89</v>
      </c>
      <c r="J554" s="3204">
        <v>1</v>
      </c>
    </row>
    <row r="555" spans="1:10">
      <c r="A555" s="3204">
        <v>554</v>
      </c>
      <c r="B555" s="3204">
        <v>1</v>
      </c>
      <c r="C555" s="3204">
        <v>1</v>
      </c>
      <c r="D555" s="3204">
        <v>5</v>
      </c>
      <c r="E555" s="3204">
        <v>504</v>
      </c>
      <c r="F555" s="3206" t="s">
        <v>3584</v>
      </c>
      <c r="G555" s="3202" t="s">
        <v>3581</v>
      </c>
      <c r="H555" s="3202" t="s">
        <v>3532</v>
      </c>
      <c r="I555" s="3203">
        <v>88.2</v>
      </c>
      <c r="J555" s="3204">
        <v>1</v>
      </c>
    </row>
    <row r="556" spans="1:10">
      <c r="A556" s="3204">
        <v>555</v>
      </c>
      <c r="B556" s="3204">
        <v>1</v>
      </c>
      <c r="C556" s="3204">
        <v>1</v>
      </c>
      <c r="D556" s="3204">
        <v>6</v>
      </c>
      <c r="E556" s="3204">
        <v>601</v>
      </c>
      <c r="F556" s="3206" t="s">
        <v>3577</v>
      </c>
      <c r="G556" s="3202" t="s">
        <v>3527</v>
      </c>
      <c r="H556" s="3202" t="s">
        <v>3448</v>
      </c>
      <c r="I556" s="3203">
        <v>87.79</v>
      </c>
      <c r="J556" s="3204">
        <v>1</v>
      </c>
    </row>
    <row r="557" spans="1:10">
      <c r="A557" s="3204">
        <v>556</v>
      </c>
      <c r="B557" s="3204">
        <v>1</v>
      </c>
      <c r="C557" s="3204">
        <v>1</v>
      </c>
      <c r="D557" s="3204">
        <v>6</v>
      </c>
      <c r="E557" s="3204">
        <v>602</v>
      </c>
      <c r="F557" s="3206" t="s">
        <v>3589</v>
      </c>
      <c r="G557" s="3202" t="s">
        <v>3585</v>
      </c>
      <c r="H557" s="3202" t="s">
        <v>3543</v>
      </c>
      <c r="I557" s="3203">
        <v>62.89</v>
      </c>
      <c r="J557" s="3204">
        <v>1</v>
      </c>
    </row>
    <row r="558" spans="1:10">
      <c r="A558" s="3204">
        <v>557</v>
      </c>
      <c r="B558" s="3204">
        <v>1</v>
      </c>
      <c r="C558" s="3204">
        <v>1</v>
      </c>
      <c r="D558" s="3204">
        <v>6</v>
      </c>
      <c r="E558" s="3204">
        <v>603</v>
      </c>
      <c r="F558" s="3206" t="s">
        <v>3588</v>
      </c>
      <c r="G558" s="3202" t="s">
        <v>3585</v>
      </c>
      <c r="H558" s="3202" t="s">
        <v>3536</v>
      </c>
      <c r="I558" s="3203">
        <v>54.89</v>
      </c>
      <c r="J558" s="3204">
        <v>1</v>
      </c>
    </row>
    <row r="559" spans="1:10">
      <c r="A559" s="3204">
        <v>558</v>
      </c>
      <c r="B559" s="3204">
        <v>1</v>
      </c>
      <c r="C559" s="3204">
        <v>1</v>
      </c>
      <c r="D559" s="3204">
        <v>6</v>
      </c>
      <c r="E559" s="3204">
        <v>604</v>
      </c>
      <c r="F559" s="3206" t="s">
        <v>3584</v>
      </c>
      <c r="G559" s="3202" t="s">
        <v>3581</v>
      </c>
      <c r="H559" s="3202" t="s">
        <v>3532</v>
      </c>
      <c r="I559" s="3203">
        <v>88.2</v>
      </c>
      <c r="J559" s="3204">
        <v>1</v>
      </c>
    </row>
    <row r="560" spans="1:10">
      <c r="A560" s="3204">
        <v>559</v>
      </c>
      <c r="B560" s="3204">
        <v>1</v>
      </c>
      <c r="C560" s="3204">
        <v>2</v>
      </c>
      <c r="D560" s="3204">
        <v>2</v>
      </c>
      <c r="E560" s="3204">
        <v>201</v>
      </c>
      <c r="F560" s="3206" t="s">
        <v>3568</v>
      </c>
      <c r="G560" s="3202" t="s">
        <v>3527</v>
      </c>
      <c r="H560" s="3202" t="s">
        <v>3448</v>
      </c>
      <c r="I560" s="3203">
        <v>88.73</v>
      </c>
      <c r="J560" s="3204">
        <v>1</v>
      </c>
    </row>
    <row r="561" spans="1:10">
      <c r="A561" s="3204">
        <v>560</v>
      </c>
      <c r="B561" s="3204">
        <v>1</v>
      </c>
      <c r="C561" s="3204">
        <v>2</v>
      </c>
      <c r="D561" s="3204">
        <v>2</v>
      </c>
      <c r="E561" s="3204">
        <v>202</v>
      </c>
      <c r="F561" s="3206" t="s">
        <v>3539</v>
      </c>
      <c r="G561" s="3202" t="s">
        <v>3527</v>
      </c>
      <c r="H561" s="3202" t="s">
        <v>3532</v>
      </c>
      <c r="I561" s="3203">
        <v>88.27</v>
      </c>
      <c r="J561" s="3204">
        <v>1</v>
      </c>
    </row>
    <row r="562" spans="1:10">
      <c r="A562" s="3204">
        <v>561</v>
      </c>
      <c r="B562" s="3204">
        <v>1</v>
      </c>
      <c r="C562" s="3204">
        <v>2</v>
      </c>
      <c r="D562" s="3204">
        <v>2</v>
      </c>
      <c r="E562" s="3204">
        <v>203</v>
      </c>
      <c r="F562" s="3206" t="s">
        <v>3554</v>
      </c>
      <c r="G562" s="3202" t="s">
        <v>3527</v>
      </c>
      <c r="H562" s="3202" t="s">
        <v>3448</v>
      </c>
      <c r="I562" s="3203">
        <v>85.12</v>
      </c>
      <c r="J562" s="3204">
        <v>1</v>
      </c>
    </row>
    <row r="563" spans="1:10">
      <c r="A563" s="3204">
        <v>562</v>
      </c>
      <c r="B563" s="3204">
        <v>1</v>
      </c>
      <c r="C563" s="3204">
        <v>2</v>
      </c>
      <c r="D563" s="3204">
        <v>3</v>
      </c>
      <c r="E563" s="3204">
        <v>301</v>
      </c>
      <c r="F563" s="3206" t="s">
        <v>3568</v>
      </c>
      <c r="G563" s="3202" t="s">
        <v>3527</v>
      </c>
      <c r="H563" s="3202" t="s">
        <v>3448</v>
      </c>
      <c r="I563" s="3203">
        <v>88.73</v>
      </c>
      <c r="J563" s="3204">
        <v>1</v>
      </c>
    </row>
    <row r="564" spans="1:10">
      <c r="A564" s="3204">
        <v>563</v>
      </c>
      <c r="B564" s="3204">
        <v>1</v>
      </c>
      <c r="C564" s="3204">
        <v>2</v>
      </c>
      <c r="D564" s="3204">
        <v>3</v>
      </c>
      <c r="E564" s="3204">
        <v>302</v>
      </c>
      <c r="F564" s="3206" t="s">
        <v>3539</v>
      </c>
      <c r="G564" s="3202" t="s">
        <v>3527</v>
      </c>
      <c r="H564" s="3202" t="s">
        <v>3532</v>
      </c>
      <c r="I564" s="3203">
        <v>88.27</v>
      </c>
      <c r="J564" s="3204">
        <v>1</v>
      </c>
    </row>
    <row r="565" spans="1:10">
      <c r="A565" s="3204">
        <v>564</v>
      </c>
      <c r="B565" s="3204">
        <v>1</v>
      </c>
      <c r="C565" s="3204">
        <v>2</v>
      </c>
      <c r="D565" s="3204">
        <v>3</v>
      </c>
      <c r="E565" s="3204">
        <v>303</v>
      </c>
      <c r="F565" s="3206" t="s">
        <v>3554</v>
      </c>
      <c r="G565" s="3202" t="s">
        <v>3527</v>
      </c>
      <c r="H565" s="3202" t="s">
        <v>3448</v>
      </c>
      <c r="I565" s="3203">
        <v>85.12</v>
      </c>
      <c r="J565" s="3204">
        <v>1</v>
      </c>
    </row>
    <row r="566" spans="1:10">
      <c r="A566" s="3204">
        <v>565</v>
      </c>
      <c r="B566" s="3204">
        <v>1</v>
      </c>
      <c r="C566" s="3204">
        <v>2</v>
      </c>
      <c r="D566" s="3204">
        <v>4</v>
      </c>
      <c r="E566" s="3204">
        <v>401</v>
      </c>
      <c r="F566" s="3206" t="s">
        <v>3568</v>
      </c>
      <c r="G566" s="3202" t="s">
        <v>3527</v>
      </c>
      <c r="H566" s="3202" t="s">
        <v>3448</v>
      </c>
      <c r="I566" s="3203">
        <v>88.73</v>
      </c>
      <c r="J566" s="3204">
        <v>1</v>
      </c>
    </row>
    <row r="567" spans="1:10">
      <c r="A567" s="3204">
        <v>566</v>
      </c>
      <c r="B567" s="3204">
        <v>1</v>
      </c>
      <c r="C567" s="3204">
        <v>2</v>
      </c>
      <c r="D567" s="3204">
        <v>4</v>
      </c>
      <c r="E567" s="3204">
        <v>402</v>
      </c>
      <c r="F567" s="3206" t="s">
        <v>3539</v>
      </c>
      <c r="G567" s="3202" t="s">
        <v>3527</v>
      </c>
      <c r="H567" s="3202" t="s">
        <v>3532</v>
      </c>
      <c r="I567" s="3203">
        <v>88.27</v>
      </c>
      <c r="J567" s="3204">
        <v>1</v>
      </c>
    </row>
    <row r="568" spans="1:10">
      <c r="A568" s="3204">
        <v>567</v>
      </c>
      <c r="B568" s="3204">
        <v>1</v>
      </c>
      <c r="C568" s="3204">
        <v>2</v>
      </c>
      <c r="D568" s="3204">
        <v>4</v>
      </c>
      <c r="E568" s="3204">
        <v>403</v>
      </c>
      <c r="F568" s="3206" t="s">
        <v>3554</v>
      </c>
      <c r="G568" s="3202" t="s">
        <v>3527</v>
      </c>
      <c r="H568" s="3202" t="s">
        <v>3448</v>
      </c>
      <c r="I568" s="3203">
        <v>85.12</v>
      </c>
      <c r="J568" s="3204">
        <v>1</v>
      </c>
    </row>
    <row r="569" spans="1:10">
      <c r="A569" s="3204">
        <v>568</v>
      </c>
      <c r="B569" s="3204">
        <v>1</v>
      </c>
      <c r="C569" s="3204">
        <v>2</v>
      </c>
      <c r="D569" s="3204">
        <v>5</v>
      </c>
      <c r="E569" s="3204">
        <v>501</v>
      </c>
      <c r="F569" s="3206" t="s">
        <v>3568</v>
      </c>
      <c r="G569" s="3202" t="s">
        <v>3527</v>
      </c>
      <c r="H569" s="3202" t="s">
        <v>3448</v>
      </c>
      <c r="I569" s="3203">
        <v>88.73</v>
      </c>
      <c r="J569" s="3204">
        <v>1</v>
      </c>
    </row>
    <row r="570" spans="1:10">
      <c r="A570" s="3204">
        <v>569</v>
      </c>
      <c r="B570" s="3204">
        <v>1</v>
      </c>
      <c r="C570" s="3204">
        <v>2</v>
      </c>
      <c r="D570" s="3204">
        <v>5</v>
      </c>
      <c r="E570" s="3204">
        <v>502</v>
      </c>
      <c r="F570" s="3206" t="s">
        <v>3539</v>
      </c>
      <c r="G570" s="3202" t="s">
        <v>3527</v>
      </c>
      <c r="H570" s="3202" t="s">
        <v>3532</v>
      </c>
      <c r="I570" s="3203">
        <v>88.27</v>
      </c>
      <c r="J570" s="3204">
        <v>1</v>
      </c>
    </row>
    <row r="571" spans="1:10">
      <c r="A571" s="3204">
        <v>570</v>
      </c>
      <c r="B571" s="3204">
        <v>1</v>
      </c>
      <c r="C571" s="3204">
        <v>2</v>
      </c>
      <c r="D571" s="3204">
        <v>5</v>
      </c>
      <c r="E571" s="3204">
        <v>503</v>
      </c>
      <c r="F571" s="3206" t="s">
        <v>3554</v>
      </c>
      <c r="G571" s="3202" t="s">
        <v>3527</v>
      </c>
      <c r="H571" s="3202" t="s">
        <v>3448</v>
      </c>
      <c r="I571" s="3203">
        <v>85.12</v>
      </c>
      <c r="J571" s="3204">
        <v>1</v>
      </c>
    </row>
    <row r="572" spans="1:10">
      <c r="A572" s="3204">
        <v>571</v>
      </c>
      <c r="B572" s="3204">
        <v>1</v>
      </c>
      <c r="C572" s="3204">
        <v>2</v>
      </c>
      <c r="D572" s="3204">
        <v>6</v>
      </c>
      <c r="E572" s="3204">
        <v>601</v>
      </c>
      <c r="F572" s="3206" t="s">
        <v>3568</v>
      </c>
      <c r="G572" s="3202" t="s">
        <v>3527</v>
      </c>
      <c r="H572" s="3202" t="s">
        <v>3448</v>
      </c>
      <c r="I572" s="3203">
        <v>88.73</v>
      </c>
      <c r="J572" s="3204">
        <v>1</v>
      </c>
    </row>
    <row r="573" spans="1:10">
      <c r="A573" s="3204">
        <v>572</v>
      </c>
      <c r="B573" s="3204">
        <v>1</v>
      </c>
      <c r="C573" s="3204">
        <v>2</v>
      </c>
      <c r="D573" s="3204">
        <v>6</v>
      </c>
      <c r="E573" s="3204">
        <v>602</v>
      </c>
      <c r="F573" s="3206" t="s">
        <v>3539</v>
      </c>
      <c r="G573" s="3202" t="s">
        <v>3527</v>
      </c>
      <c r="H573" s="3202" t="s">
        <v>3532</v>
      </c>
      <c r="I573" s="3203">
        <v>88.27</v>
      </c>
      <c r="J573" s="3204">
        <v>1</v>
      </c>
    </row>
    <row r="574" spans="1:10">
      <c r="A574" s="3204">
        <v>573</v>
      </c>
      <c r="B574" s="3204">
        <v>1</v>
      </c>
      <c r="C574" s="3204">
        <v>2</v>
      </c>
      <c r="D574" s="3204">
        <v>6</v>
      </c>
      <c r="E574" s="3204">
        <v>603</v>
      </c>
      <c r="F574" s="3206" t="s">
        <v>3554</v>
      </c>
      <c r="G574" s="3202" t="s">
        <v>3527</v>
      </c>
      <c r="H574" s="3202" t="s">
        <v>3448</v>
      </c>
      <c r="I574" s="3203">
        <v>85.12</v>
      </c>
      <c r="J574" s="3204">
        <v>1</v>
      </c>
    </row>
    <row r="575" spans="1:10">
      <c r="A575" s="3204">
        <v>574</v>
      </c>
      <c r="B575" s="3204">
        <v>1</v>
      </c>
      <c r="C575" s="3204">
        <v>3</v>
      </c>
      <c r="D575" s="3204">
        <v>2</v>
      </c>
      <c r="E575" s="3204">
        <v>201</v>
      </c>
      <c r="F575" s="3206" t="s">
        <v>404</v>
      </c>
      <c r="G575" s="3202" t="s">
        <v>3527</v>
      </c>
      <c r="H575" s="3202" t="s">
        <v>3448</v>
      </c>
      <c r="I575" s="3203">
        <v>85.12</v>
      </c>
      <c r="J575" s="3204">
        <v>1</v>
      </c>
    </row>
    <row r="576" spans="1:10">
      <c r="A576" s="3204">
        <v>575</v>
      </c>
      <c r="B576" s="3204">
        <v>1</v>
      </c>
      <c r="C576" s="3204">
        <v>3</v>
      </c>
      <c r="D576" s="3204">
        <v>2</v>
      </c>
      <c r="E576" s="3204">
        <v>202</v>
      </c>
      <c r="F576" s="3206" t="s">
        <v>409</v>
      </c>
      <c r="G576" s="3202" t="s">
        <v>3527</v>
      </c>
      <c r="H576" s="3202" t="s">
        <v>3532</v>
      </c>
      <c r="I576" s="3203">
        <v>88.27</v>
      </c>
      <c r="J576" s="3204">
        <v>1</v>
      </c>
    </row>
    <row r="577" spans="1:10">
      <c r="A577" s="3204">
        <v>576</v>
      </c>
      <c r="B577" s="3204">
        <v>1</v>
      </c>
      <c r="C577" s="3204">
        <v>3</v>
      </c>
      <c r="D577" s="3204">
        <v>2</v>
      </c>
      <c r="E577" s="3204">
        <v>203</v>
      </c>
      <c r="F577" s="3206" t="s">
        <v>403</v>
      </c>
      <c r="G577" s="3202" t="s">
        <v>3527</v>
      </c>
      <c r="H577" s="3202" t="s">
        <v>3448</v>
      </c>
      <c r="I577" s="3203">
        <v>88.67</v>
      </c>
      <c r="J577" s="3204">
        <v>1</v>
      </c>
    </row>
    <row r="578" spans="1:10">
      <c r="A578" s="3204">
        <v>577</v>
      </c>
      <c r="B578" s="3204">
        <v>1</v>
      </c>
      <c r="C578" s="3204">
        <v>3</v>
      </c>
      <c r="D578" s="3204">
        <v>3</v>
      </c>
      <c r="E578" s="3204">
        <v>301</v>
      </c>
      <c r="F578" s="3206" t="s">
        <v>404</v>
      </c>
      <c r="G578" s="3202" t="s">
        <v>3527</v>
      </c>
      <c r="H578" s="3202" t="s">
        <v>3448</v>
      </c>
      <c r="I578" s="3203">
        <v>85.12</v>
      </c>
      <c r="J578" s="3204">
        <v>1</v>
      </c>
    </row>
    <row r="579" spans="1:10">
      <c r="A579" s="3204">
        <v>578</v>
      </c>
      <c r="B579" s="3204">
        <v>1</v>
      </c>
      <c r="C579" s="3204">
        <v>3</v>
      </c>
      <c r="D579" s="3204">
        <v>3</v>
      </c>
      <c r="E579" s="3204">
        <v>302</v>
      </c>
      <c r="F579" s="3206" t="s">
        <v>409</v>
      </c>
      <c r="G579" s="3202" t="s">
        <v>3527</v>
      </c>
      <c r="H579" s="3202" t="s">
        <v>3532</v>
      </c>
      <c r="I579" s="3203">
        <v>88.27</v>
      </c>
      <c r="J579" s="3204">
        <v>1</v>
      </c>
    </row>
    <row r="580" spans="1:10">
      <c r="A580" s="3204">
        <v>579</v>
      </c>
      <c r="B580" s="3204">
        <v>1</v>
      </c>
      <c r="C580" s="3204">
        <v>3</v>
      </c>
      <c r="D580" s="3204">
        <v>3</v>
      </c>
      <c r="E580" s="3204">
        <v>303</v>
      </c>
      <c r="F580" s="3206" t="s">
        <v>403</v>
      </c>
      <c r="G580" s="3202" t="s">
        <v>3527</v>
      </c>
      <c r="H580" s="3202" t="s">
        <v>3448</v>
      </c>
      <c r="I580" s="3203">
        <v>88.67</v>
      </c>
      <c r="J580" s="3204">
        <v>1</v>
      </c>
    </row>
    <row r="581" spans="1:10">
      <c r="A581" s="3204">
        <v>580</v>
      </c>
      <c r="B581" s="3204">
        <v>1</v>
      </c>
      <c r="C581" s="3204">
        <v>3</v>
      </c>
      <c r="D581" s="3204">
        <v>4</v>
      </c>
      <c r="E581" s="3204">
        <v>401</v>
      </c>
      <c r="F581" s="3206" t="s">
        <v>404</v>
      </c>
      <c r="G581" s="3202" t="s">
        <v>3527</v>
      </c>
      <c r="H581" s="3202" t="s">
        <v>3448</v>
      </c>
      <c r="I581" s="3203">
        <v>85.12</v>
      </c>
      <c r="J581" s="3204">
        <v>1</v>
      </c>
    </row>
    <row r="582" spans="1:10">
      <c r="A582" s="3204">
        <v>581</v>
      </c>
      <c r="B582" s="3204">
        <v>1</v>
      </c>
      <c r="C582" s="3204">
        <v>3</v>
      </c>
      <c r="D582" s="3204">
        <v>4</v>
      </c>
      <c r="E582" s="3204">
        <v>402</v>
      </c>
      <c r="F582" s="3206" t="s">
        <v>409</v>
      </c>
      <c r="G582" s="3202" t="s">
        <v>3527</v>
      </c>
      <c r="H582" s="3202" t="s">
        <v>3532</v>
      </c>
      <c r="I582" s="3203">
        <v>88.27</v>
      </c>
      <c r="J582" s="3204">
        <v>1</v>
      </c>
    </row>
    <row r="583" spans="1:10">
      <c r="A583" s="3204">
        <v>582</v>
      </c>
      <c r="B583" s="3204">
        <v>1</v>
      </c>
      <c r="C583" s="3204">
        <v>3</v>
      </c>
      <c r="D583" s="3204">
        <v>4</v>
      </c>
      <c r="E583" s="3204">
        <v>403</v>
      </c>
      <c r="F583" s="3206" t="s">
        <v>403</v>
      </c>
      <c r="G583" s="3202" t="s">
        <v>3527</v>
      </c>
      <c r="H583" s="3202" t="s">
        <v>3448</v>
      </c>
      <c r="I583" s="3203">
        <v>88.67</v>
      </c>
      <c r="J583" s="3204">
        <v>1</v>
      </c>
    </row>
    <row r="584" spans="1:10">
      <c r="A584" s="3204">
        <v>583</v>
      </c>
      <c r="B584" s="3204">
        <v>1</v>
      </c>
      <c r="C584" s="3204">
        <v>3</v>
      </c>
      <c r="D584" s="3204">
        <v>5</v>
      </c>
      <c r="E584" s="3204">
        <v>501</v>
      </c>
      <c r="F584" s="3206" t="s">
        <v>404</v>
      </c>
      <c r="G584" s="3202" t="s">
        <v>3527</v>
      </c>
      <c r="H584" s="3202" t="s">
        <v>3448</v>
      </c>
      <c r="I584" s="3203">
        <v>85.12</v>
      </c>
      <c r="J584" s="3204">
        <v>1</v>
      </c>
    </row>
    <row r="585" spans="1:10">
      <c r="A585" s="3204">
        <v>584</v>
      </c>
      <c r="B585" s="3204">
        <v>1</v>
      </c>
      <c r="C585" s="3204">
        <v>3</v>
      </c>
      <c r="D585" s="3204">
        <v>5</v>
      </c>
      <c r="E585" s="3204">
        <v>502</v>
      </c>
      <c r="F585" s="3206" t="s">
        <v>409</v>
      </c>
      <c r="G585" s="3202" t="s">
        <v>3527</v>
      </c>
      <c r="H585" s="3202" t="s">
        <v>3532</v>
      </c>
      <c r="I585" s="3203">
        <v>88.27</v>
      </c>
      <c r="J585" s="3204">
        <v>1</v>
      </c>
    </row>
    <row r="586" spans="1:10">
      <c r="A586" s="3204">
        <v>585</v>
      </c>
      <c r="B586" s="3204">
        <v>1</v>
      </c>
      <c r="C586" s="3204">
        <v>3</v>
      </c>
      <c r="D586" s="3204">
        <v>5</v>
      </c>
      <c r="E586" s="3204">
        <v>503</v>
      </c>
      <c r="F586" s="3206" t="s">
        <v>403</v>
      </c>
      <c r="G586" s="3202" t="s">
        <v>3527</v>
      </c>
      <c r="H586" s="3202" t="s">
        <v>3448</v>
      </c>
      <c r="I586" s="3203">
        <v>88.67</v>
      </c>
      <c r="J586" s="3204">
        <v>1</v>
      </c>
    </row>
    <row r="587" spans="1:10">
      <c r="A587" s="3204">
        <v>586</v>
      </c>
      <c r="B587" s="3204">
        <v>1</v>
      </c>
      <c r="C587" s="3204">
        <v>3</v>
      </c>
      <c r="D587" s="3204">
        <v>6</v>
      </c>
      <c r="E587" s="3204">
        <v>601</v>
      </c>
      <c r="F587" s="3206" t="s">
        <v>404</v>
      </c>
      <c r="G587" s="3202" t="s">
        <v>3527</v>
      </c>
      <c r="H587" s="3202" t="s">
        <v>3448</v>
      </c>
      <c r="I587" s="3203">
        <v>85.12</v>
      </c>
      <c r="J587" s="3204">
        <v>1</v>
      </c>
    </row>
    <row r="588" spans="1:10">
      <c r="A588" s="3204">
        <v>587</v>
      </c>
      <c r="B588" s="3204">
        <v>1</v>
      </c>
      <c r="C588" s="3204">
        <v>3</v>
      </c>
      <c r="D588" s="3204">
        <v>6</v>
      </c>
      <c r="E588" s="3204">
        <v>602</v>
      </c>
      <c r="F588" s="3206" t="s">
        <v>409</v>
      </c>
      <c r="G588" s="3202" t="s">
        <v>3527</v>
      </c>
      <c r="H588" s="3202" t="s">
        <v>3532</v>
      </c>
      <c r="I588" s="3203">
        <v>88.27</v>
      </c>
      <c r="J588" s="3204">
        <v>1</v>
      </c>
    </row>
    <row r="589" spans="1:10">
      <c r="A589" s="3204">
        <v>588</v>
      </c>
      <c r="B589" s="3204">
        <v>1</v>
      </c>
      <c r="C589" s="3204">
        <v>3</v>
      </c>
      <c r="D589" s="3204">
        <v>6</v>
      </c>
      <c r="E589" s="3204">
        <v>603</v>
      </c>
      <c r="F589" s="3206" t="s">
        <v>403</v>
      </c>
      <c r="G589" s="3202" t="s">
        <v>3527</v>
      </c>
      <c r="H589" s="3202" t="s">
        <v>3448</v>
      </c>
      <c r="I589" s="3203">
        <v>88.67</v>
      </c>
      <c r="J589" s="3204">
        <v>1</v>
      </c>
    </row>
    <row r="590" spans="1:10">
      <c r="A590" s="3204">
        <v>589</v>
      </c>
      <c r="B590" s="3204">
        <v>1</v>
      </c>
      <c r="C590" s="3204">
        <v>4</v>
      </c>
      <c r="D590" s="3204">
        <v>2</v>
      </c>
      <c r="E590" s="3204">
        <v>201</v>
      </c>
      <c r="F590" s="3206" t="s">
        <v>3575</v>
      </c>
      <c r="G590" s="3214" t="s">
        <v>3527</v>
      </c>
      <c r="H590" s="3202" t="s">
        <v>3448</v>
      </c>
      <c r="I590" s="3203">
        <v>89.81</v>
      </c>
      <c r="J590" s="3204">
        <v>1</v>
      </c>
    </row>
    <row r="591" spans="1:10">
      <c r="A591" s="3204">
        <v>590</v>
      </c>
      <c r="B591" s="3204">
        <v>1</v>
      </c>
      <c r="C591" s="3204">
        <v>4</v>
      </c>
      <c r="D591" s="3204">
        <v>2</v>
      </c>
      <c r="E591" s="3204">
        <v>202</v>
      </c>
      <c r="F591" s="3206" t="s">
        <v>3595</v>
      </c>
      <c r="G591" s="3202" t="s">
        <v>3585</v>
      </c>
      <c r="H591" s="3202" t="s">
        <v>3532</v>
      </c>
      <c r="I591" s="3203">
        <v>69.92</v>
      </c>
      <c r="J591" s="3204">
        <v>1</v>
      </c>
    </row>
    <row r="592" spans="1:10">
      <c r="A592" s="3204">
        <v>591</v>
      </c>
      <c r="B592" s="3204">
        <v>1</v>
      </c>
      <c r="C592" s="3204">
        <v>4</v>
      </c>
      <c r="D592" s="3204">
        <v>2</v>
      </c>
      <c r="E592" s="3204">
        <v>203</v>
      </c>
      <c r="F592" s="3206" t="s">
        <v>3598</v>
      </c>
      <c r="G592" s="3202" t="s">
        <v>3585</v>
      </c>
      <c r="H592" s="3202" t="s">
        <v>3578</v>
      </c>
      <c r="I592" s="3203">
        <v>61.66</v>
      </c>
      <c r="J592" s="3204">
        <v>1</v>
      </c>
    </row>
    <row r="593" spans="1:10">
      <c r="A593" s="3204">
        <v>592</v>
      </c>
      <c r="B593" s="3204">
        <v>1</v>
      </c>
      <c r="C593" s="3204">
        <v>4</v>
      </c>
      <c r="D593" s="3204">
        <v>3</v>
      </c>
      <c r="E593" s="3204">
        <v>301</v>
      </c>
      <c r="F593" s="3206" t="s">
        <v>3575</v>
      </c>
      <c r="G593" s="3214" t="s">
        <v>3527</v>
      </c>
      <c r="H593" s="3202" t="s">
        <v>3448</v>
      </c>
      <c r="I593" s="3203">
        <v>89.81</v>
      </c>
      <c r="J593" s="3204">
        <v>1</v>
      </c>
    </row>
    <row r="594" spans="1:10">
      <c r="A594" s="3204">
        <v>593</v>
      </c>
      <c r="B594" s="3204">
        <v>1</v>
      </c>
      <c r="C594" s="3204">
        <v>4</v>
      </c>
      <c r="D594" s="3204">
        <v>3</v>
      </c>
      <c r="E594" s="3204">
        <v>302</v>
      </c>
      <c r="F594" s="3206" t="s">
        <v>3595</v>
      </c>
      <c r="G594" s="3202" t="s">
        <v>3585</v>
      </c>
      <c r="H594" s="3202" t="s">
        <v>3532</v>
      </c>
      <c r="I594" s="3203">
        <v>69.92</v>
      </c>
      <c r="J594" s="3204">
        <v>1</v>
      </c>
    </row>
    <row r="595" spans="1:10">
      <c r="A595" s="3204">
        <v>594</v>
      </c>
      <c r="B595" s="3204">
        <v>1</v>
      </c>
      <c r="C595" s="3204">
        <v>4</v>
      </c>
      <c r="D595" s="3204">
        <v>3</v>
      </c>
      <c r="E595" s="3204">
        <v>303</v>
      </c>
      <c r="F595" s="3206" t="s">
        <v>3598</v>
      </c>
      <c r="G595" s="3202" t="s">
        <v>3585</v>
      </c>
      <c r="H595" s="3202" t="s">
        <v>3578</v>
      </c>
      <c r="I595" s="3203">
        <v>61.66</v>
      </c>
      <c r="J595" s="3204">
        <v>1</v>
      </c>
    </row>
    <row r="596" spans="1:10">
      <c r="A596" s="3204">
        <v>595</v>
      </c>
      <c r="B596" s="3204">
        <v>1</v>
      </c>
      <c r="C596" s="3204">
        <v>4</v>
      </c>
      <c r="D596" s="3204">
        <v>4</v>
      </c>
      <c r="E596" s="3204">
        <v>401</v>
      </c>
      <c r="F596" s="3206" t="s">
        <v>3575</v>
      </c>
      <c r="G596" s="3214" t="s">
        <v>3527</v>
      </c>
      <c r="H596" s="3202" t="s">
        <v>3448</v>
      </c>
      <c r="I596" s="3203">
        <v>89.81</v>
      </c>
      <c r="J596" s="3204">
        <v>1</v>
      </c>
    </row>
    <row r="597" spans="1:10">
      <c r="A597" s="3204">
        <v>596</v>
      </c>
      <c r="B597" s="3204">
        <v>1</v>
      </c>
      <c r="C597" s="3204">
        <v>4</v>
      </c>
      <c r="D597" s="3204">
        <v>4</v>
      </c>
      <c r="E597" s="3204">
        <v>402</v>
      </c>
      <c r="F597" s="3206" t="s">
        <v>3595</v>
      </c>
      <c r="G597" s="3202" t="s">
        <v>3585</v>
      </c>
      <c r="H597" s="3202" t="s">
        <v>3532</v>
      </c>
      <c r="I597" s="3203">
        <v>69.92</v>
      </c>
      <c r="J597" s="3204">
        <v>1</v>
      </c>
    </row>
    <row r="598" spans="1:10">
      <c r="A598" s="3204">
        <v>597</v>
      </c>
      <c r="B598" s="3204">
        <v>1</v>
      </c>
      <c r="C598" s="3204">
        <v>4</v>
      </c>
      <c r="D598" s="3204">
        <v>4</v>
      </c>
      <c r="E598" s="3204">
        <v>403</v>
      </c>
      <c r="F598" s="3206" t="s">
        <v>3598</v>
      </c>
      <c r="G598" s="3202" t="s">
        <v>3585</v>
      </c>
      <c r="H598" s="3202" t="s">
        <v>3578</v>
      </c>
      <c r="I598" s="3203">
        <v>61.66</v>
      </c>
      <c r="J598" s="3204">
        <v>1</v>
      </c>
    </row>
    <row r="599" spans="1:10">
      <c r="A599" s="3204">
        <v>598</v>
      </c>
      <c r="B599" s="3204">
        <v>1</v>
      </c>
      <c r="C599" s="3204">
        <v>4</v>
      </c>
      <c r="D599" s="3204">
        <v>5</v>
      </c>
      <c r="E599" s="3204">
        <v>501</v>
      </c>
      <c r="F599" s="3206" t="s">
        <v>3575</v>
      </c>
      <c r="G599" s="3214" t="s">
        <v>3527</v>
      </c>
      <c r="H599" s="3202" t="s">
        <v>3448</v>
      </c>
      <c r="I599" s="3203">
        <v>89.81</v>
      </c>
      <c r="J599" s="3204">
        <v>1</v>
      </c>
    </row>
    <row r="600" spans="1:10">
      <c r="A600" s="3204">
        <v>599</v>
      </c>
      <c r="B600" s="3204">
        <v>1</v>
      </c>
      <c r="C600" s="3204">
        <v>4</v>
      </c>
      <c r="D600" s="3204">
        <v>5</v>
      </c>
      <c r="E600" s="3204">
        <v>502</v>
      </c>
      <c r="F600" s="3206" t="s">
        <v>3595</v>
      </c>
      <c r="G600" s="3202" t="s">
        <v>3585</v>
      </c>
      <c r="H600" s="3202" t="s">
        <v>3532</v>
      </c>
      <c r="I600" s="3203">
        <v>69.92</v>
      </c>
      <c r="J600" s="3204">
        <v>1</v>
      </c>
    </row>
    <row r="601" spans="1:10">
      <c r="A601" s="3204">
        <v>600</v>
      </c>
      <c r="B601" s="3204">
        <v>1</v>
      </c>
      <c r="C601" s="3204">
        <v>4</v>
      </c>
      <c r="D601" s="3204">
        <v>5</v>
      </c>
      <c r="E601" s="3204">
        <v>503</v>
      </c>
      <c r="F601" s="3206" t="s">
        <v>3598</v>
      </c>
      <c r="G601" s="3202" t="s">
        <v>3585</v>
      </c>
      <c r="H601" s="3202" t="s">
        <v>3578</v>
      </c>
      <c r="I601" s="3203">
        <v>61.66</v>
      </c>
      <c r="J601" s="3204">
        <v>1</v>
      </c>
    </row>
    <row r="602" spans="1:10">
      <c r="A602" s="3204">
        <v>601</v>
      </c>
      <c r="B602" s="3204">
        <v>1</v>
      </c>
      <c r="C602" s="3204">
        <v>4</v>
      </c>
      <c r="D602" s="3204">
        <v>6</v>
      </c>
      <c r="E602" s="3204">
        <v>601</v>
      </c>
      <c r="F602" s="3206" t="s">
        <v>3575</v>
      </c>
      <c r="G602" s="3214" t="s">
        <v>3527</v>
      </c>
      <c r="H602" s="3202" t="s">
        <v>3448</v>
      </c>
      <c r="I602" s="3203">
        <v>89.81</v>
      </c>
      <c r="J602" s="3204">
        <v>1</v>
      </c>
    </row>
    <row r="603" spans="1:10">
      <c r="A603" s="3204">
        <v>602</v>
      </c>
      <c r="B603" s="3204">
        <v>1</v>
      </c>
      <c r="C603" s="3204">
        <v>4</v>
      </c>
      <c r="D603" s="3204">
        <v>6</v>
      </c>
      <c r="E603" s="3204">
        <v>602</v>
      </c>
      <c r="F603" s="3206" t="s">
        <v>3595</v>
      </c>
      <c r="G603" s="3202" t="s">
        <v>3585</v>
      </c>
      <c r="H603" s="3202" t="s">
        <v>3532</v>
      </c>
      <c r="I603" s="3203">
        <v>69.92</v>
      </c>
      <c r="J603" s="3204">
        <v>1</v>
      </c>
    </row>
    <row r="604" spans="1:10">
      <c r="A604" s="3204">
        <v>603</v>
      </c>
      <c r="B604" s="3204">
        <v>1</v>
      </c>
      <c r="C604" s="3204">
        <v>4</v>
      </c>
      <c r="D604" s="3204">
        <v>6</v>
      </c>
      <c r="E604" s="3204">
        <v>603</v>
      </c>
      <c r="F604" s="3206" t="s">
        <v>3598</v>
      </c>
      <c r="G604" s="3202" t="s">
        <v>3585</v>
      </c>
      <c r="H604" s="3202" t="s">
        <v>3578</v>
      </c>
      <c r="I604" s="3203">
        <v>61.66</v>
      </c>
      <c r="J604" s="3204">
        <v>1</v>
      </c>
    </row>
    <row r="605" spans="1:10">
      <c r="A605" s="3204">
        <v>604</v>
      </c>
      <c r="B605" s="3204">
        <v>1</v>
      </c>
      <c r="C605" s="3204">
        <v>5</v>
      </c>
      <c r="D605" s="3204">
        <v>2</v>
      </c>
      <c r="E605" s="3204">
        <v>201</v>
      </c>
      <c r="F605" s="3202" t="s">
        <v>3577</v>
      </c>
      <c r="G605" s="3202" t="s">
        <v>3527</v>
      </c>
      <c r="H605" s="3202" t="s">
        <v>3448</v>
      </c>
      <c r="I605" s="3203">
        <v>87.79</v>
      </c>
      <c r="J605" s="3204">
        <v>1</v>
      </c>
    </row>
    <row r="606" spans="1:10">
      <c r="A606" s="3204">
        <v>605</v>
      </c>
      <c r="B606" s="3204">
        <v>1</v>
      </c>
      <c r="C606" s="3204">
        <v>5</v>
      </c>
      <c r="D606" s="3204">
        <v>2</v>
      </c>
      <c r="E606" s="3204">
        <v>202</v>
      </c>
      <c r="F606" s="3202" t="s">
        <v>3589</v>
      </c>
      <c r="G606" s="3202" t="s">
        <v>3585</v>
      </c>
      <c r="H606" s="3202" t="s">
        <v>3543</v>
      </c>
      <c r="I606" s="3203">
        <v>62.89</v>
      </c>
      <c r="J606" s="3204">
        <v>1</v>
      </c>
    </row>
    <row r="607" spans="1:10">
      <c r="A607" s="3204">
        <v>606</v>
      </c>
      <c r="B607" s="3204">
        <v>1</v>
      </c>
      <c r="C607" s="3204">
        <v>5</v>
      </c>
      <c r="D607" s="3204">
        <v>2</v>
      </c>
      <c r="E607" s="3204">
        <v>203</v>
      </c>
      <c r="F607" s="3202" t="s">
        <v>3587</v>
      </c>
      <c r="G607" s="3202" t="s">
        <v>3585</v>
      </c>
      <c r="H607" s="3202" t="s">
        <v>3536</v>
      </c>
      <c r="I607" s="3203">
        <v>62.2</v>
      </c>
      <c r="J607" s="3204">
        <v>1</v>
      </c>
    </row>
    <row r="608" spans="1:10">
      <c r="A608" s="3204">
        <v>607</v>
      </c>
      <c r="B608" s="3204">
        <v>1</v>
      </c>
      <c r="C608" s="3204">
        <v>5</v>
      </c>
      <c r="D608" s="3204">
        <v>2</v>
      </c>
      <c r="E608" s="3204">
        <v>204</v>
      </c>
      <c r="F608" s="3202" t="s">
        <v>3558</v>
      </c>
      <c r="G608" s="3202" t="s">
        <v>3527</v>
      </c>
      <c r="H608" s="3202" t="s">
        <v>3547</v>
      </c>
      <c r="I608" s="3203">
        <v>89.6</v>
      </c>
      <c r="J608" s="3204">
        <v>1</v>
      </c>
    </row>
    <row r="609" spans="1:10">
      <c r="A609" s="3204">
        <v>608</v>
      </c>
      <c r="B609" s="3204">
        <v>1</v>
      </c>
      <c r="C609" s="3204">
        <v>5</v>
      </c>
      <c r="D609" s="3204">
        <v>3</v>
      </c>
      <c r="E609" s="3204">
        <v>301</v>
      </c>
      <c r="F609" s="3202" t="s">
        <v>3577</v>
      </c>
      <c r="G609" s="3202" t="s">
        <v>3527</v>
      </c>
      <c r="H609" s="3202" t="s">
        <v>3448</v>
      </c>
      <c r="I609" s="3203">
        <v>87.79</v>
      </c>
      <c r="J609" s="3204">
        <v>1</v>
      </c>
    </row>
    <row r="610" spans="1:10">
      <c r="A610" s="3204">
        <v>609</v>
      </c>
      <c r="B610" s="3204">
        <v>1</v>
      </c>
      <c r="C610" s="3204">
        <v>5</v>
      </c>
      <c r="D610" s="3204">
        <v>3</v>
      </c>
      <c r="E610" s="3204">
        <v>302</v>
      </c>
      <c r="F610" s="3202" t="s">
        <v>3589</v>
      </c>
      <c r="G610" s="3202" t="s">
        <v>3585</v>
      </c>
      <c r="H610" s="3202" t="s">
        <v>3543</v>
      </c>
      <c r="I610" s="3203">
        <v>62.89</v>
      </c>
      <c r="J610" s="3204">
        <v>1</v>
      </c>
    </row>
    <row r="611" spans="1:10">
      <c r="A611" s="3204">
        <v>610</v>
      </c>
      <c r="B611" s="3204">
        <v>1</v>
      </c>
      <c r="C611" s="3204">
        <v>5</v>
      </c>
      <c r="D611" s="3204">
        <v>3</v>
      </c>
      <c r="E611" s="3204">
        <v>303</v>
      </c>
      <c r="F611" s="3202" t="s">
        <v>3587</v>
      </c>
      <c r="G611" s="3202" t="s">
        <v>3585</v>
      </c>
      <c r="H611" s="3202" t="s">
        <v>3536</v>
      </c>
      <c r="I611" s="3203">
        <v>62.2</v>
      </c>
      <c r="J611" s="3204">
        <v>1</v>
      </c>
    </row>
    <row r="612" spans="1:10">
      <c r="A612" s="3204">
        <v>611</v>
      </c>
      <c r="B612" s="3204">
        <v>1</v>
      </c>
      <c r="C612" s="3204">
        <v>5</v>
      </c>
      <c r="D612" s="3204">
        <v>3</v>
      </c>
      <c r="E612" s="3204">
        <v>304</v>
      </c>
      <c r="F612" s="3202" t="s">
        <v>3558</v>
      </c>
      <c r="G612" s="3202" t="s">
        <v>3527</v>
      </c>
      <c r="H612" s="3202" t="s">
        <v>3547</v>
      </c>
      <c r="I612" s="3203">
        <v>89.6</v>
      </c>
      <c r="J612" s="3204">
        <v>1</v>
      </c>
    </row>
    <row r="613" spans="1:10">
      <c r="A613" s="3204">
        <v>612</v>
      </c>
      <c r="B613" s="3204">
        <v>1</v>
      </c>
      <c r="C613" s="3204">
        <v>5</v>
      </c>
      <c r="D613" s="3204">
        <v>4</v>
      </c>
      <c r="E613" s="3204">
        <v>401</v>
      </c>
      <c r="F613" s="3202" t="s">
        <v>3577</v>
      </c>
      <c r="G613" s="3202" t="s">
        <v>3527</v>
      </c>
      <c r="H613" s="3202" t="s">
        <v>3448</v>
      </c>
      <c r="I613" s="3203">
        <v>87.79</v>
      </c>
      <c r="J613" s="3204">
        <v>1</v>
      </c>
    </row>
    <row r="614" spans="1:10">
      <c r="A614" s="3204">
        <v>613</v>
      </c>
      <c r="B614" s="3204">
        <v>1</v>
      </c>
      <c r="C614" s="3204">
        <v>5</v>
      </c>
      <c r="D614" s="3204">
        <v>4</v>
      </c>
      <c r="E614" s="3204">
        <v>402</v>
      </c>
      <c r="F614" s="3202" t="s">
        <v>3589</v>
      </c>
      <c r="G614" s="3202" t="s">
        <v>3585</v>
      </c>
      <c r="H614" s="3202" t="s">
        <v>3543</v>
      </c>
      <c r="I614" s="3203">
        <v>62.89</v>
      </c>
      <c r="J614" s="3204">
        <v>1</v>
      </c>
    </row>
    <row r="615" spans="1:10">
      <c r="A615" s="3204">
        <v>614</v>
      </c>
      <c r="B615" s="3204">
        <v>1</v>
      </c>
      <c r="C615" s="3204">
        <v>5</v>
      </c>
      <c r="D615" s="3204">
        <v>4</v>
      </c>
      <c r="E615" s="3204">
        <v>403</v>
      </c>
      <c r="F615" s="3202" t="s">
        <v>3587</v>
      </c>
      <c r="G615" s="3202" t="s">
        <v>3585</v>
      </c>
      <c r="H615" s="3202" t="s">
        <v>3536</v>
      </c>
      <c r="I615" s="3203">
        <v>62.2</v>
      </c>
      <c r="J615" s="3204">
        <v>1</v>
      </c>
    </row>
    <row r="616" spans="1:10">
      <c r="A616" s="3204">
        <v>615</v>
      </c>
      <c r="B616" s="3204">
        <v>1</v>
      </c>
      <c r="C616" s="3204">
        <v>5</v>
      </c>
      <c r="D616" s="3204">
        <v>4</v>
      </c>
      <c r="E616" s="3204">
        <v>404</v>
      </c>
      <c r="F616" s="3202" t="s">
        <v>3558</v>
      </c>
      <c r="G616" s="3202" t="s">
        <v>3527</v>
      </c>
      <c r="H616" s="3202" t="s">
        <v>3547</v>
      </c>
      <c r="I616" s="3203">
        <v>89.6</v>
      </c>
      <c r="J616" s="3204">
        <v>1</v>
      </c>
    </row>
    <row r="617" spans="1:10">
      <c r="A617" s="3204">
        <v>616</v>
      </c>
      <c r="B617" s="3204">
        <v>1</v>
      </c>
      <c r="C617" s="3204">
        <v>5</v>
      </c>
      <c r="D617" s="3204">
        <v>5</v>
      </c>
      <c r="E617" s="3204">
        <v>501</v>
      </c>
      <c r="F617" s="3202" t="s">
        <v>3577</v>
      </c>
      <c r="G617" s="3202" t="s">
        <v>3527</v>
      </c>
      <c r="H617" s="3202" t="s">
        <v>3448</v>
      </c>
      <c r="I617" s="3203">
        <v>87.79</v>
      </c>
      <c r="J617" s="3204">
        <v>1</v>
      </c>
    </row>
    <row r="618" spans="1:10">
      <c r="A618" s="3204">
        <v>617</v>
      </c>
      <c r="B618" s="3204">
        <v>1</v>
      </c>
      <c r="C618" s="3204">
        <v>5</v>
      </c>
      <c r="D618" s="3204">
        <v>5</v>
      </c>
      <c r="E618" s="3204">
        <v>502</v>
      </c>
      <c r="F618" s="3202" t="s">
        <v>3589</v>
      </c>
      <c r="G618" s="3202" t="s">
        <v>3585</v>
      </c>
      <c r="H618" s="3202" t="s">
        <v>3543</v>
      </c>
      <c r="I618" s="3203">
        <v>62.89</v>
      </c>
      <c r="J618" s="3204">
        <v>1</v>
      </c>
    </row>
    <row r="619" spans="1:10">
      <c r="A619" s="3204">
        <v>618</v>
      </c>
      <c r="B619" s="3204">
        <v>1</v>
      </c>
      <c r="C619" s="3204">
        <v>5</v>
      </c>
      <c r="D619" s="3204">
        <v>5</v>
      </c>
      <c r="E619" s="3204">
        <v>503</v>
      </c>
      <c r="F619" s="3202" t="s">
        <v>3587</v>
      </c>
      <c r="G619" s="3202" t="s">
        <v>3585</v>
      </c>
      <c r="H619" s="3202" t="s">
        <v>3536</v>
      </c>
      <c r="I619" s="3203">
        <v>62.2</v>
      </c>
      <c r="J619" s="3204">
        <v>1</v>
      </c>
    </row>
    <row r="620" spans="1:10">
      <c r="A620" s="3204">
        <v>619</v>
      </c>
      <c r="B620" s="3204">
        <v>1</v>
      </c>
      <c r="C620" s="3204">
        <v>5</v>
      </c>
      <c r="D620" s="3204">
        <v>5</v>
      </c>
      <c r="E620" s="3204">
        <v>504</v>
      </c>
      <c r="F620" s="3202" t="s">
        <v>3558</v>
      </c>
      <c r="G620" s="3202" t="s">
        <v>3527</v>
      </c>
      <c r="H620" s="3202" t="s">
        <v>3547</v>
      </c>
      <c r="I620" s="3203">
        <v>89.6</v>
      </c>
      <c r="J620" s="3204">
        <v>1</v>
      </c>
    </row>
    <row r="621" spans="1:10">
      <c r="A621" s="3204">
        <v>620</v>
      </c>
      <c r="B621" s="3204">
        <v>1</v>
      </c>
      <c r="C621" s="3204">
        <v>5</v>
      </c>
      <c r="D621" s="3204">
        <v>6</v>
      </c>
      <c r="E621" s="3204">
        <v>601</v>
      </c>
      <c r="F621" s="3202" t="s">
        <v>3577</v>
      </c>
      <c r="G621" s="3202" t="s">
        <v>3527</v>
      </c>
      <c r="H621" s="3202" t="s">
        <v>3448</v>
      </c>
      <c r="I621" s="3203">
        <v>87.79</v>
      </c>
      <c r="J621" s="3204">
        <v>1</v>
      </c>
    </row>
    <row r="622" spans="1:10">
      <c r="A622" s="3204">
        <v>621</v>
      </c>
      <c r="B622" s="3204">
        <v>1</v>
      </c>
      <c r="C622" s="3204">
        <v>5</v>
      </c>
      <c r="D622" s="3204">
        <v>6</v>
      </c>
      <c r="E622" s="3204">
        <v>602</v>
      </c>
      <c r="F622" s="3202" t="s">
        <v>3589</v>
      </c>
      <c r="G622" s="3202" t="s">
        <v>3585</v>
      </c>
      <c r="H622" s="3202" t="s">
        <v>3543</v>
      </c>
      <c r="I622" s="3203">
        <v>62.89</v>
      </c>
      <c r="J622" s="3204">
        <v>1</v>
      </c>
    </row>
    <row r="623" spans="1:10">
      <c r="A623" s="3204">
        <v>622</v>
      </c>
      <c r="B623" s="3204">
        <v>1</v>
      </c>
      <c r="C623" s="3204">
        <v>5</v>
      </c>
      <c r="D623" s="3204">
        <v>6</v>
      </c>
      <c r="E623" s="3204">
        <v>603</v>
      </c>
      <c r="F623" s="3202" t="s">
        <v>3587</v>
      </c>
      <c r="G623" s="3202" t="s">
        <v>3585</v>
      </c>
      <c r="H623" s="3202" t="s">
        <v>3536</v>
      </c>
      <c r="I623" s="3203">
        <v>62.2</v>
      </c>
      <c r="J623" s="3204">
        <v>1</v>
      </c>
    </row>
    <row r="624" spans="1:10">
      <c r="A624" s="3204">
        <v>623</v>
      </c>
      <c r="B624" s="3204">
        <v>1</v>
      </c>
      <c r="C624" s="3204">
        <v>5</v>
      </c>
      <c r="D624" s="3204">
        <v>6</v>
      </c>
      <c r="E624" s="3204">
        <v>604</v>
      </c>
      <c r="F624" s="3202" t="s">
        <v>3558</v>
      </c>
      <c r="G624" s="3202" t="s">
        <v>3527</v>
      </c>
      <c r="H624" s="3202" t="s">
        <v>3547</v>
      </c>
      <c r="I624" s="3203">
        <v>89.6</v>
      </c>
      <c r="J624" s="3204">
        <v>1</v>
      </c>
    </row>
    <row r="625" spans="1:10">
      <c r="A625" s="3204">
        <v>624</v>
      </c>
      <c r="B625" s="3204">
        <v>1</v>
      </c>
      <c r="C625" s="3204">
        <v>6</v>
      </c>
      <c r="D625" s="3204">
        <v>2</v>
      </c>
      <c r="E625" s="3204">
        <v>201</v>
      </c>
      <c r="F625" s="3202" t="s">
        <v>404</v>
      </c>
      <c r="G625" s="3202" t="s">
        <v>3527</v>
      </c>
      <c r="H625" s="3202" t="s">
        <v>3448</v>
      </c>
      <c r="I625" s="3203">
        <v>85.17</v>
      </c>
      <c r="J625" s="3204">
        <v>1</v>
      </c>
    </row>
    <row r="626" spans="1:10">
      <c r="A626" s="3204">
        <v>625</v>
      </c>
      <c r="B626" s="3204">
        <v>1</v>
      </c>
      <c r="C626" s="3204">
        <v>6</v>
      </c>
      <c r="D626" s="3204">
        <v>2</v>
      </c>
      <c r="E626" s="3204">
        <v>202</v>
      </c>
      <c r="F626" s="3202" t="s">
        <v>409</v>
      </c>
      <c r="G626" s="3202" t="s">
        <v>3527</v>
      </c>
      <c r="H626" s="3202" t="s">
        <v>3532</v>
      </c>
      <c r="I626" s="3203">
        <v>88.27</v>
      </c>
      <c r="J626" s="3204">
        <v>1</v>
      </c>
    </row>
    <row r="627" spans="1:10">
      <c r="A627" s="3204">
        <v>626</v>
      </c>
      <c r="B627" s="3204">
        <v>1</v>
      </c>
      <c r="C627" s="3204">
        <v>6</v>
      </c>
      <c r="D627" s="3204">
        <v>2</v>
      </c>
      <c r="E627" s="3204">
        <v>203</v>
      </c>
      <c r="F627" s="3202" t="s">
        <v>403</v>
      </c>
      <c r="G627" s="3202" t="s">
        <v>3527</v>
      </c>
      <c r="H627" s="3202" t="s">
        <v>3448</v>
      </c>
      <c r="I627" s="3203">
        <v>88.67</v>
      </c>
      <c r="J627" s="3204">
        <v>1</v>
      </c>
    </row>
    <row r="628" spans="1:10">
      <c r="A628" s="3204">
        <v>627</v>
      </c>
      <c r="B628" s="3204">
        <v>1</v>
      </c>
      <c r="C628" s="3204">
        <v>6</v>
      </c>
      <c r="D628" s="3204">
        <v>3</v>
      </c>
      <c r="E628" s="3204">
        <v>301</v>
      </c>
      <c r="F628" s="3202" t="s">
        <v>404</v>
      </c>
      <c r="G628" s="3202" t="s">
        <v>3527</v>
      </c>
      <c r="H628" s="3202" t="s">
        <v>3448</v>
      </c>
      <c r="I628" s="3203">
        <v>85.17</v>
      </c>
      <c r="J628" s="3204">
        <v>1</v>
      </c>
    </row>
    <row r="629" spans="1:10">
      <c r="A629" s="3204">
        <v>628</v>
      </c>
      <c r="B629" s="3204">
        <v>1</v>
      </c>
      <c r="C629" s="3204">
        <v>6</v>
      </c>
      <c r="D629" s="3204">
        <v>3</v>
      </c>
      <c r="E629" s="3204">
        <v>302</v>
      </c>
      <c r="F629" s="3202" t="s">
        <v>409</v>
      </c>
      <c r="G629" s="3202" t="s">
        <v>3527</v>
      </c>
      <c r="H629" s="3202" t="s">
        <v>3532</v>
      </c>
      <c r="I629" s="3203">
        <v>88.27</v>
      </c>
      <c r="J629" s="3204">
        <v>1</v>
      </c>
    </row>
    <row r="630" spans="1:10">
      <c r="A630" s="3204">
        <v>629</v>
      </c>
      <c r="B630" s="3204">
        <v>1</v>
      </c>
      <c r="C630" s="3204">
        <v>6</v>
      </c>
      <c r="D630" s="3204">
        <v>3</v>
      </c>
      <c r="E630" s="3204">
        <v>303</v>
      </c>
      <c r="F630" s="3202" t="s">
        <v>403</v>
      </c>
      <c r="G630" s="3202" t="s">
        <v>3527</v>
      </c>
      <c r="H630" s="3202" t="s">
        <v>3448</v>
      </c>
      <c r="I630" s="3203">
        <v>88.67</v>
      </c>
      <c r="J630" s="3204">
        <v>1</v>
      </c>
    </row>
    <row r="631" spans="1:10">
      <c r="A631" s="3204">
        <v>630</v>
      </c>
      <c r="B631" s="3204">
        <v>1</v>
      </c>
      <c r="C631" s="3204">
        <v>6</v>
      </c>
      <c r="D631" s="3204">
        <v>4</v>
      </c>
      <c r="E631" s="3204">
        <v>401</v>
      </c>
      <c r="F631" s="3202" t="s">
        <v>404</v>
      </c>
      <c r="G631" s="3202" t="s">
        <v>3527</v>
      </c>
      <c r="H631" s="3202" t="s">
        <v>3448</v>
      </c>
      <c r="I631" s="3203">
        <v>85.17</v>
      </c>
      <c r="J631" s="3204">
        <v>1</v>
      </c>
    </row>
    <row r="632" spans="1:10">
      <c r="A632" s="3204">
        <v>631</v>
      </c>
      <c r="B632" s="3204">
        <v>1</v>
      </c>
      <c r="C632" s="3204">
        <v>6</v>
      </c>
      <c r="D632" s="3204">
        <v>4</v>
      </c>
      <c r="E632" s="3204">
        <v>402</v>
      </c>
      <c r="F632" s="3202" t="s">
        <v>409</v>
      </c>
      <c r="G632" s="3202" t="s">
        <v>3527</v>
      </c>
      <c r="H632" s="3202" t="s">
        <v>3532</v>
      </c>
      <c r="I632" s="3203">
        <v>88.27</v>
      </c>
      <c r="J632" s="3204">
        <v>1</v>
      </c>
    </row>
    <row r="633" spans="1:10">
      <c r="A633" s="3204">
        <v>632</v>
      </c>
      <c r="B633" s="3204">
        <v>1</v>
      </c>
      <c r="C633" s="3204">
        <v>6</v>
      </c>
      <c r="D633" s="3204">
        <v>4</v>
      </c>
      <c r="E633" s="3204">
        <v>403</v>
      </c>
      <c r="F633" s="3202" t="s">
        <v>403</v>
      </c>
      <c r="G633" s="3202" t="s">
        <v>3527</v>
      </c>
      <c r="H633" s="3202" t="s">
        <v>3448</v>
      </c>
      <c r="I633" s="3203">
        <v>88.67</v>
      </c>
      <c r="J633" s="3204">
        <v>1</v>
      </c>
    </row>
    <row r="634" spans="1:10">
      <c r="A634" s="3204">
        <v>633</v>
      </c>
      <c r="B634" s="3204">
        <v>1</v>
      </c>
      <c r="C634" s="3204">
        <v>6</v>
      </c>
      <c r="D634" s="3204">
        <v>5</v>
      </c>
      <c r="E634" s="3204">
        <v>501</v>
      </c>
      <c r="F634" s="3202" t="s">
        <v>404</v>
      </c>
      <c r="G634" s="3202" t="s">
        <v>3527</v>
      </c>
      <c r="H634" s="3202" t="s">
        <v>3448</v>
      </c>
      <c r="I634" s="3203">
        <v>85.17</v>
      </c>
      <c r="J634" s="3204">
        <v>1</v>
      </c>
    </row>
    <row r="635" spans="1:10">
      <c r="A635" s="3204">
        <v>634</v>
      </c>
      <c r="B635" s="3204">
        <v>1</v>
      </c>
      <c r="C635" s="3204">
        <v>6</v>
      </c>
      <c r="D635" s="3204">
        <v>5</v>
      </c>
      <c r="E635" s="3204">
        <v>502</v>
      </c>
      <c r="F635" s="3202" t="s">
        <v>409</v>
      </c>
      <c r="G635" s="3202" t="s">
        <v>3527</v>
      </c>
      <c r="H635" s="3202" t="s">
        <v>3532</v>
      </c>
      <c r="I635" s="3203">
        <v>88.27</v>
      </c>
      <c r="J635" s="3204">
        <v>1</v>
      </c>
    </row>
    <row r="636" spans="1:10">
      <c r="A636" s="3204">
        <v>635</v>
      </c>
      <c r="B636" s="3204">
        <v>1</v>
      </c>
      <c r="C636" s="3204">
        <v>6</v>
      </c>
      <c r="D636" s="3204">
        <v>5</v>
      </c>
      <c r="E636" s="3204">
        <v>503</v>
      </c>
      <c r="F636" s="3202" t="s">
        <v>403</v>
      </c>
      <c r="G636" s="3202" t="s">
        <v>3527</v>
      </c>
      <c r="H636" s="3202" t="s">
        <v>3448</v>
      </c>
      <c r="I636" s="3203">
        <v>88.67</v>
      </c>
      <c r="J636" s="3204">
        <v>1</v>
      </c>
    </row>
    <row r="637" spans="1:10">
      <c r="A637" s="3204">
        <v>636</v>
      </c>
      <c r="B637" s="3204">
        <v>1</v>
      </c>
      <c r="C637" s="3204">
        <v>6</v>
      </c>
      <c r="D637" s="3204">
        <v>6</v>
      </c>
      <c r="E637" s="3204">
        <v>601</v>
      </c>
      <c r="F637" s="3202" t="s">
        <v>404</v>
      </c>
      <c r="G637" s="3202" t="s">
        <v>3527</v>
      </c>
      <c r="H637" s="3202" t="s">
        <v>3448</v>
      </c>
      <c r="I637" s="3203">
        <v>85.17</v>
      </c>
      <c r="J637" s="3204">
        <v>1</v>
      </c>
    </row>
    <row r="638" spans="1:10">
      <c r="A638" s="3204">
        <v>637</v>
      </c>
      <c r="B638" s="3204">
        <v>1</v>
      </c>
      <c r="C638" s="3204">
        <v>6</v>
      </c>
      <c r="D638" s="3204">
        <v>6</v>
      </c>
      <c r="E638" s="3204">
        <v>602</v>
      </c>
      <c r="F638" s="3202" t="s">
        <v>409</v>
      </c>
      <c r="G638" s="3202" t="s">
        <v>3527</v>
      </c>
      <c r="H638" s="3202" t="s">
        <v>3532</v>
      </c>
      <c r="I638" s="3203">
        <v>88.27</v>
      </c>
      <c r="J638" s="3204">
        <v>1</v>
      </c>
    </row>
    <row r="639" spans="1:10">
      <c r="A639" s="3204">
        <v>638</v>
      </c>
      <c r="B639" s="3204">
        <v>1</v>
      </c>
      <c r="C639" s="3204">
        <v>6</v>
      </c>
      <c r="D639" s="3204">
        <v>6</v>
      </c>
      <c r="E639" s="3204">
        <v>603</v>
      </c>
      <c r="F639" s="3202" t="s">
        <v>403</v>
      </c>
      <c r="G639" s="3202" t="s">
        <v>3527</v>
      </c>
      <c r="H639" s="3202" t="s">
        <v>3448</v>
      </c>
      <c r="I639" s="3203">
        <v>88.67</v>
      </c>
      <c r="J639" s="3204">
        <v>1</v>
      </c>
    </row>
    <row r="640" spans="1:10">
      <c r="A640" s="3204">
        <v>639</v>
      </c>
      <c r="B640" s="3204">
        <v>1</v>
      </c>
      <c r="C640" s="3204">
        <v>7</v>
      </c>
      <c r="D640" s="3204">
        <v>2</v>
      </c>
      <c r="E640" s="3204">
        <v>201</v>
      </c>
      <c r="F640" s="3202" t="s">
        <v>3568</v>
      </c>
      <c r="G640" s="3202" t="s">
        <v>3527</v>
      </c>
      <c r="H640" s="3202" t="s">
        <v>3448</v>
      </c>
      <c r="I640" s="3203">
        <v>88.67</v>
      </c>
      <c r="J640" s="3204">
        <v>1</v>
      </c>
    </row>
    <row r="641" spans="1:10">
      <c r="A641" s="3204">
        <v>640</v>
      </c>
      <c r="B641" s="3204">
        <v>1</v>
      </c>
      <c r="C641" s="3204">
        <v>7</v>
      </c>
      <c r="D641" s="3204">
        <v>2</v>
      </c>
      <c r="E641" s="3204">
        <v>202</v>
      </c>
      <c r="F641" s="3202" t="s">
        <v>3539</v>
      </c>
      <c r="G641" s="3202" t="s">
        <v>3527</v>
      </c>
      <c r="H641" s="3202" t="s">
        <v>3532</v>
      </c>
      <c r="I641" s="3203">
        <v>88.27</v>
      </c>
      <c r="J641" s="3204">
        <v>1</v>
      </c>
    </row>
    <row r="642" spans="1:10">
      <c r="A642" s="3204">
        <v>641</v>
      </c>
      <c r="B642" s="3204">
        <v>1</v>
      </c>
      <c r="C642" s="3204">
        <v>7</v>
      </c>
      <c r="D642" s="3204">
        <v>2</v>
      </c>
      <c r="E642" s="3204">
        <v>203</v>
      </c>
      <c r="F642" s="3202" t="s">
        <v>3554</v>
      </c>
      <c r="G642" s="3202" t="s">
        <v>3527</v>
      </c>
      <c r="H642" s="3202" t="s">
        <v>3448</v>
      </c>
      <c r="I642" s="3203">
        <v>85.88</v>
      </c>
      <c r="J642" s="3204">
        <v>1</v>
      </c>
    </row>
    <row r="643" spans="1:10">
      <c r="A643" s="3204">
        <v>642</v>
      </c>
      <c r="B643" s="3204">
        <v>1</v>
      </c>
      <c r="C643" s="3204">
        <v>7</v>
      </c>
      <c r="D643" s="3204">
        <v>3</v>
      </c>
      <c r="E643" s="3204">
        <v>301</v>
      </c>
      <c r="F643" s="3202" t="s">
        <v>3568</v>
      </c>
      <c r="G643" s="3202" t="s">
        <v>3527</v>
      </c>
      <c r="H643" s="3202" t="s">
        <v>3448</v>
      </c>
      <c r="I643" s="3203">
        <v>88.67</v>
      </c>
      <c r="J643" s="3204">
        <v>1</v>
      </c>
    </row>
    <row r="644" spans="1:10">
      <c r="A644" s="3204">
        <v>643</v>
      </c>
      <c r="B644" s="3204">
        <v>1</v>
      </c>
      <c r="C644" s="3204">
        <v>7</v>
      </c>
      <c r="D644" s="3204">
        <v>3</v>
      </c>
      <c r="E644" s="3204">
        <v>302</v>
      </c>
      <c r="F644" s="3202" t="s">
        <v>3539</v>
      </c>
      <c r="G644" s="3202" t="s">
        <v>3527</v>
      </c>
      <c r="H644" s="3202" t="s">
        <v>3532</v>
      </c>
      <c r="I644" s="3203">
        <v>88.27</v>
      </c>
      <c r="J644" s="3204">
        <v>1</v>
      </c>
    </row>
    <row r="645" spans="1:10">
      <c r="A645" s="3204">
        <v>644</v>
      </c>
      <c r="B645" s="3204">
        <v>1</v>
      </c>
      <c r="C645" s="3204">
        <v>7</v>
      </c>
      <c r="D645" s="3204">
        <v>3</v>
      </c>
      <c r="E645" s="3204">
        <v>303</v>
      </c>
      <c r="F645" s="3202" t="s">
        <v>3554</v>
      </c>
      <c r="G645" s="3202" t="s">
        <v>3527</v>
      </c>
      <c r="H645" s="3202" t="s">
        <v>3448</v>
      </c>
      <c r="I645" s="3203">
        <v>85.88</v>
      </c>
      <c r="J645" s="3204">
        <v>1</v>
      </c>
    </row>
    <row r="646" spans="1:10">
      <c r="A646" s="3204">
        <v>645</v>
      </c>
      <c r="B646" s="3204">
        <v>1</v>
      </c>
      <c r="C646" s="3204">
        <v>7</v>
      </c>
      <c r="D646" s="3204">
        <v>4</v>
      </c>
      <c r="E646" s="3204">
        <v>401</v>
      </c>
      <c r="F646" s="3202" t="s">
        <v>3568</v>
      </c>
      <c r="G646" s="3202" t="s">
        <v>3527</v>
      </c>
      <c r="H646" s="3202" t="s">
        <v>3448</v>
      </c>
      <c r="I646" s="3203">
        <v>88.67</v>
      </c>
      <c r="J646" s="3204">
        <v>1</v>
      </c>
    </row>
    <row r="647" spans="1:10">
      <c r="A647" s="3204">
        <v>646</v>
      </c>
      <c r="B647" s="3204">
        <v>1</v>
      </c>
      <c r="C647" s="3204">
        <v>7</v>
      </c>
      <c r="D647" s="3204">
        <v>4</v>
      </c>
      <c r="E647" s="3204">
        <v>402</v>
      </c>
      <c r="F647" s="3202" t="s">
        <v>3539</v>
      </c>
      <c r="G647" s="3202" t="s">
        <v>3527</v>
      </c>
      <c r="H647" s="3202" t="s">
        <v>3532</v>
      </c>
      <c r="I647" s="3203">
        <v>88.27</v>
      </c>
      <c r="J647" s="3204">
        <v>1</v>
      </c>
    </row>
    <row r="648" spans="1:10">
      <c r="A648" s="3204">
        <v>647</v>
      </c>
      <c r="B648" s="3204">
        <v>1</v>
      </c>
      <c r="C648" s="3204">
        <v>7</v>
      </c>
      <c r="D648" s="3204">
        <v>4</v>
      </c>
      <c r="E648" s="3204">
        <v>403</v>
      </c>
      <c r="F648" s="3202" t="s">
        <v>3554</v>
      </c>
      <c r="G648" s="3202" t="s">
        <v>3527</v>
      </c>
      <c r="H648" s="3202" t="s">
        <v>3448</v>
      </c>
      <c r="I648" s="3203">
        <v>85.88</v>
      </c>
      <c r="J648" s="3204">
        <v>1</v>
      </c>
    </row>
    <row r="649" spans="1:10">
      <c r="A649" s="3204">
        <v>648</v>
      </c>
      <c r="B649" s="3204">
        <v>1</v>
      </c>
      <c r="C649" s="3204">
        <v>7</v>
      </c>
      <c r="D649" s="3204">
        <v>5</v>
      </c>
      <c r="E649" s="3204">
        <v>501</v>
      </c>
      <c r="F649" s="3202" t="s">
        <v>3568</v>
      </c>
      <c r="G649" s="3202" t="s">
        <v>3527</v>
      </c>
      <c r="H649" s="3202" t="s">
        <v>3448</v>
      </c>
      <c r="I649" s="3203">
        <v>88.67</v>
      </c>
      <c r="J649" s="3204">
        <v>1</v>
      </c>
    </row>
    <row r="650" spans="1:10">
      <c r="A650" s="3204">
        <v>649</v>
      </c>
      <c r="B650" s="3204">
        <v>1</v>
      </c>
      <c r="C650" s="3204">
        <v>7</v>
      </c>
      <c r="D650" s="3204">
        <v>5</v>
      </c>
      <c r="E650" s="3204">
        <v>502</v>
      </c>
      <c r="F650" s="3202" t="s">
        <v>3539</v>
      </c>
      <c r="G650" s="3202" t="s">
        <v>3527</v>
      </c>
      <c r="H650" s="3202" t="s">
        <v>3532</v>
      </c>
      <c r="I650" s="3203">
        <v>88.27</v>
      </c>
      <c r="J650" s="3204">
        <v>1</v>
      </c>
    </row>
    <row r="651" spans="1:10">
      <c r="A651" s="3204">
        <v>650</v>
      </c>
      <c r="B651" s="3204">
        <v>1</v>
      </c>
      <c r="C651" s="3204">
        <v>7</v>
      </c>
      <c r="D651" s="3204">
        <v>5</v>
      </c>
      <c r="E651" s="3204">
        <v>503</v>
      </c>
      <c r="F651" s="3202" t="s">
        <v>3554</v>
      </c>
      <c r="G651" s="3202" t="s">
        <v>3527</v>
      </c>
      <c r="H651" s="3202" t="s">
        <v>3448</v>
      </c>
      <c r="I651" s="3203">
        <v>85.88</v>
      </c>
      <c r="J651" s="3204">
        <v>1</v>
      </c>
    </row>
    <row r="652" spans="1:10">
      <c r="A652" s="3204">
        <v>651</v>
      </c>
      <c r="B652" s="3204">
        <v>1</v>
      </c>
      <c r="C652" s="3204">
        <v>7</v>
      </c>
      <c r="D652" s="3204">
        <v>6</v>
      </c>
      <c r="E652" s="3204">
        <v>601</v>
      </c>
      <c r="F652" s="3202" t="s">
        <v>3568</v>
      </c>
      <c r="G652" s="3202" t="s">
        <v>3527</v>
      </c>
      <c r="H652" s="3202" t="s">
        <v>3448</v>
      </c>
      <c r="I652" s="3203">
        <v>88.67</v>
      </c>
      <c r="J652" s="3204">
        <v>1</v>
      </c>
    </row>
    <row r="653" spans="1:10">
      <c r="A653" s="3204">
        <v>652</v>
      </c>
      <c r="B653" s="3204">
        <v>1</v>
      </c>
      <c r="C653" s="3204">
        <v>7</v>
      </c>
      <c r="D653" s="3204">
        <v>6</v>
      </c>
      <c r="E653" s="3204">
        <v>602</v>
      </c>
      <c r="F653" s="3202" t="s">
        <v>3539</v>
      </c>
      <c r="G653" s="3202" t="s">
        <v>3527</v>
      </c>
      <c r="H653" s="3202" t="s">
        <v>3532</v>
      </c>
      <c r="I653" s="3203">
        <v>88.27</v>
      </c>
      <c r="J653" s="3204">
        <v>1</v>
      </c>
    </row>
    <row r="654" spans="1:10">
      <c r="A654" s="3204">
        <v>653</v>
      </c>
      <c r="B654" s="3204">
        <v>1</v>
      </c>
      <c r="C654" s="3204">
        <v>7</v>
      </c>
      <c r="D654" s="3204">
        <v>6</v>
      </c>
      <c r="E654" s="3204">
        <v>603</v>
      </c>
      <c r="F654" s="3202" t="s">
        <v>3554</v>
      </c>
      <c r="G654" s="3202" t="s">
        <v>3527</v>
      </c>
      <c r="H654" s="3202" t="s">
        <v>3448</v>
      </c>
      <c r="I654" s="3203">
        <v>85.88</v>
      </c>
      <c r="J654" s="3204">
        <v>1</v>
      </c>
    </row>
    <row r="656" spans="1:10">
      <c r="I656" s="3215">
        <f>SUM(I2:I654)</f>
        <v>54242.659999999749</v>
      </c>
    </row>
  </sheetData>
  <phoneticPr fontId="135" type="noConversion"/>
  <pageMargins left="0.70866141732283472" right="0.70866141732283472" top="0.74803149606299213" bottom="0.74803149606299213" header="0.31496062992125984" footer="0.31496062992125984"/>
  <pageSetup paperSize="9" fitToHeight="0" orientation="portrait"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32003.330999999998</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5900</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8136399</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8136399</v>
      </c>
      <c r="D8" s="213"/>
      <c r="E8" s="211"/>
      <c r="F8" s="212"/>
      <c r="G8" s="1712" t="s">
        <v>3398</v>
      </c>
    </row>
    <row r="9" spans="1:8" s="205" customFormat="1" ht="13.5" customHeight="1">
      <c r="A9" s="732" t="s">
        <v>355</v>
      </c>
      <c r="B9" s="215" t="s">
        <v>1478</v>
      </c>
      <c r="C9" s="216">
        <f ca="1">ROUND(D9*E9,0)</f>
        <v>8136399</v>
      </c>
      <c r="D9" s="794">
        <f ca="1">IF(B1="",'数据-汇总表'!E5,IF(INDIRECT("'数据-取费表'!c"&amp;$G$1)="住宅",INDIRECT("'数据-取费表'!k"&amp;$G$1),0))</f>
        <v>54242.66</v>
      </c>
      <c r="E9" s="216">
        <f>'数据-取费表'!B27</f>
        <v>150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54242.66</v>
      </c>
      <c r="E19" s="202">
        <f>'数据-取费表'!B31</f>
        <v>200</v>
      </c>
      <c r="F19" s="222"/>
      <c r="G19" s="1712" t="s">
        <v>3399</v>
      </c>
    </row>
    <row r="20" spans="1:7" s="205" customFormat="1" ht="13.5" customHeight="1">
      <c r="A20" s="246" t="s">
        <v>1574</v>
      </c>
      <c r="B20" s="201" t="s">
        <v>1575</v>
      </c>
      <c r="C20" s="223">
        <f ca="1">ROUND((C5+C19)*F20,0)</f>
        <v>162728</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799046</v>
      </c>
      <c r="D22" s="226">
        <f ca="1">C26</f>
        <v>1E-3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791316</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7730</v>
      </c>
      <c r="D25" s="229"/>
      <c r="E25" s="232"/>
      <c r="F25" s="230"/>
      <c r="G25" s="233" t="s">
        <v>1588</v>
      </c>
    </row>
    <row r="26" spans="1:7" s="205" customFormat="1">
      <c r="A26" s="733"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f ca="1">C28</f>
        <v>1244869</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1244869</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11198616</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248431383</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216970640</v>
      </c>
      <c r="D34" s="208"/>
      <c r="E34" s="211"/>
      <c r="F34" s="248"/>
      <c r="G34" s="210"/>
    </row>
    <row r="35" spans="1:7" ht="13.5" customHeight="1">
      <c r="A35" s="733" t="s">
        <v>351</v>
      </c>
      <c r="B35" s="206" t="s">
        <v>1527</v>
      </c>
      <c r="C35" s="211">
        <f ca="1">ROUND(C34*F35,0)</f>
        <v>6509119</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10848532</v>
      </c>
      <c r="D36" s="211"/>
      <c r="E36" s="211"/>
      <c r="F36" s="250">
        <f>'数据-取费表'!B34</f>
        <v>0.05</v>
      </c>
      <c r="G36" s="251" t="s">
        <v>1530</v>
      </c>
    </row>
    <row r="37" spans="1:7" s="249" customFormat="1" ht="13.5" customHeight="1">
      <c r="A37" s="733" t="s">
        <v>353</v>
      </c>
      <c r="B37" s="206" t="s">
        <v>1531</v>
      </c>
      <c r="C37" s="240">
        <f ca="1">ROUND(E37*D37,0)</f>
        <v>10848532</v>
      </c>
      <c r="D37" s="208">
        <f ca="1">D19</f>
        <v>54242.66</v>
      </c>
      <c r="E37" s="240">
        <f>'数据-取费表'!B35</f>
        <v>200</v>
      </c>
      <c r="F37" s="250"/>
      <c r="G37" s="252"/>
    </row>
    <row r="38" spans="1:7" ht="13.5" customHeight="1">
      <c r="A38" s="733" t="s">
        <v>354</v>
      </c>
      <c r="B38" s="206" t="s">
        <v>1533</v>
      </c>
      <c r="C38" s="211">
        <f ca="1">ROUND(C34*F38,0)</f>
        <v>3254560</v>
      </c>
      <c r="D38" s="211"/>
      <c r="E38" s="211"/>
      <c r="F38" s="250">
        <f>'数据-取费表'!B36</f>
        <v>1.4999999999999999E-2</v>
      </c>
      <c r="G38" s="210" t="s">
        <v>1528</v>
      </c>
    </row>
    <row r="39" spans="1:7" s="205" customFormat="1" ht="13.5" customHeight="1">
      <c r="A39" s="246" t="s">
        <v>1534</v>
      </c>
      <c r="B39" s="201" t="s">
        <v>1535</v>
      </c>
      <c r="C39" s="223">
        <f ca="1">ROUND(C33*F20,0)</f>
        <v>4968628</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12036501</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11800491</v>
      </c>
      <c r="D42" s="229"/>
      <c r="E42" s="229"/>
      <c r="F42" s="230"/>
      <c r="G42" s="3402" t="s">
        <v>1591</v>
      </c>
    </row>
    <row r="43" spans="1:7" ht="13.5" customHeight="1">
      <c r="A43" s="733" t="s">
        <v>347</v>
      </c>
      <c r="B43" s="206" t="s">
        <v>1545</v>
      </c>
      <c r="C43" s="229">
        <f ca="1">ROUND(IF('数据-取费表'!B22&lt;=1,C39*F22*'数据-取费表'!B20/2,C39*(POWER((1+F22),'数据-取费表'!B20/2)-1)),0)</f>
        <v>236010</v>
      </c>
      <c r="D43" s="229"/>
      <c r="E43" s="229"/>
      <c r="F43" s="230"/>
      <c r="G43" s="3403"/>
    </row>
    <row r="44" spans="1:7" ht="13.5" customHeight="1">
      <c r="A44" s="733" t="s">
        <v>348</v>
      </c>
      <c r="B44" s="206" t="s">
        <v>1546</v>
      </c>
      <c r="C44" s="229">
        <f ca="1">ROUND(IF('数据-取费表'!B22&lt;=1,C40*F22*'数据-取费表'!B20/2,C40*(POWER((1+F22),'数据-取费表'!B20/2)-1)),4)</f>
        <v>1E-3</v>
      </c>
      <c r="D44" s="229"/>
      <c r="E44" s="229"/>
      <c r="F44" s="230"/>
      <c r="G44" s="3404"/>
    </row>
    <row r="45" spans="1:7" s="205" customFormat="1" ht="13.5" customHeight="1">
      <c r="A45" s="246" t="s">
        <v>1547</v>
      </c>
      <c r="B45" s="235" t="s">
        <v>1513</v>
      </c>
      <c r="C45" s="236">
        <f ca="1">C46</f>
        <v>38010002</v>
      </c>
      <c r="D45" s="226">
        <f ca="1">C47</f>
        <v>3.0000000000000001E-3</v>
      </c>
      <c r="E45" s="227" t="s">
        <v>1539</v>
      </c>
      <c r="F45" s="237">
        <f ca="1">F27</f>
        <v>0.15</v>
      </c>
      <c r="G45" s="238" t="s">
        <v>1548</v>
      </c>
    </row>
    <row r="46" spans="1:7" s="205" customFormat="1" ht="13.5" customHeight="1">
      <c r="A46" s="733" t="s">
        <v>346</v>
      </c>
      <c r="B46" s="239" t="s">
        <v>1549</v>
      </c>
      <c r="C46" s="240">
        <f ca="1">ROUND((C33+C39)*F27,0)</f>
        <v>38010002</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328547547</v>
      </c>
      <c r="D49" s="223"/>
      <c r="E49" s="223"/>
      <c r="F49" s="255"/>
      <c r="G49" s="225" t="s">
        <v>1554</v>
      </c>
    </row>
    <row r="50" spans="1:7" s="249" customFormat="1">
      <c r="A50" s="246" t="s">
        <v>1555</v>
      </c>
      <c r="B50" s="201" t="s">
        <v>1556</v>
      </c>
      <c r="C50" s="223"/>
      <c r="D50" s="223"/>
      <c r="E50" s="223"/>
      <c r="F50" s="255">
        <f>IF('数据-取费表'!B24=0,'数据-取费表'!N16,1)</f>
        <v>0.94</v>
      </c>
      <c r="G50" s="238"/>
    </row>
    <row r="51" spans="1:7" ht="16.5" customHeight="1">
      <c r="A51" s="246" t="s">
        <v>1558</v>
      </c>
      <c r="B51" s="201" t="s">
        <v>1593</v>
      </c>
      <c r="C51" s="223">
        <f ca="1">ROUND(C49*F50,0)</f>
        <v>308834694</v>
      </c>
      <c r="D51" s="223"/>
      <c r="E51" s="223"/>
      <c r="F51" s="255"/>
      <c r="G51" s="225" t="s">
        <v>1560</v>
      </c>
    </row>
    <row r="52" spans="1:7" s="199" customFormat="1" ht="16.5" thickBot="1">
      <c r="A52" s="256" t="s">
        <v>1561</v>
      </c>
      <c r="B52" s="257"/>
      <c r="C52" s="258">
        <f ca="1">C31+C51</f>
        <v>320033310</v>
      </c>
      <c r="D52" s="257"/>
      <c r="E52" s="257"/>
      <c r="F52" s="257"/>
      <c r="G52" s="259"/>
    </row>
    <row r="55" spans="1:7" ht="15">
      <c r="B55" s="261" t="s">
        <v>1562</v>
      </c>
      <c r="C55" s="262"/>
    </row>
    <row r="56" spans="1:7">
      <c r="B56" s="264" t="s">
        <v>802</v>
      </c>
      <c r="C56" s="266">
        <f ca="1">1-C57</f>
        <v>3.5000000000000031E-2</v>
      </c>
    </row>
    <row r="57" spans="1:7">
      <c r="B57" s="264" t="s">
        <v>803</v>
      </c>
      <c r="C57" s="265">
        <f ca="1">ROUND(C51/C52,3)</f>
        <v>0.96499999999999997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2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5"/>
      <c r="C2" s="3225"/>
      <c r="D2" s="3225"/>
      <c r="E2" s="3225"/>
    </row>
    <row r="3" spans="1:5" ht="18">
      <c r="A3" s="3226" t="str">
        <f>IF(项目基本情况!B9="房地产市场价值","估价结果一览表（市场价值不需“结果表-1”）","估价结果一览表")</f>
        <v>估价结果一览表</v>
      </c>
      <c r="B3" s="3226"/>
      <c r="C3" s="3226"/>
      <c r="D3" s="3226"/>
      <c r="E3" s="3226"/>
    </row>
    <row r="4" spans="1:5" ht="19.5" thickBot="1">
      <c r="A4" s="1389"/>
      <c r="B4" s="3224" t="s">
        <v>917</v>
      </c>
      <c r="C4" s="3224"/>
      <c r="D4" s="3224"/>
      <c r="E4" s="1389"/>
    </row>
    <row r="5" spans="1:5" ht="16.5" thickTop="1">
      <c r="B5" s="3222" t="s">
        <v>909</v>
      </c>
      <c r="C5" s="1390" t="s">
        <v>910</v>
      </c>
      <c r="D5" s="796" t="e">
        <f ca="1">结果表!H101</f>
        <v>#REF!</v>
      </c>
    </row>
    <row r="6" spans="1:5" ht="15.75">
      <c r="B6" s="3222"/>
      <c r="C6" s="1390" t="s">
        <v>911</v>
      </c>
      <c r="D6" s="796" t="e">
        <f ca="1">NUMBERSTRING(INT(D5*10000),2)&amp;"元整"</f>
        <v>#REF!</v>
      </c>
    </row>
    <row r="7" spans="1:5" ht="15.75">
      <c r="B7" s="3227"/>
      <c r="C7" s="1391" t="s">
        <v>912</v>
      </c>
      <c r="D7" s="797" t="e">
        <f ca="1">结果表!H102</f>
        <v>#REF!</v>
      </c>
    </row>
    <row r="8" spans="1:5" ht="15.75">
      <c r="B8" s="3228" t="str">
        <f>结果表!E103</f>
        <v>2.估价师知悉的法定优先受偿款</v>
      </c>
      <c r="C8" s="1392" t="s">
        <v>913</v>
      </c>
      <c r="D8" s="797">
        <f>结果表!H103</f>
        <v>0</v>
      </c>
    </row>
    <row r="9" spans="1:5" ht="15.75">
      <c r="B9" s="3230"/>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221" t="str">
        <f>结果表!E107</f>
        <v>3.房地产抵押价值</v>
      </c>
      <c r="C13" s="1395" t="s">
        <v>910</v>
      </c>
      <c r="D13" s="799" t="e">
        <f ca="1">结果表!H107</f>
        <v>#REF!</v>
      </c>
    </row>
    <row r="14" spans="1:5" ht="15.75">
      <c r="B14" s="3222"/>
      <c r="C14" s="1390" t="s">
        <v>911</v>
      </c>
      <c r="D14" s="796" t="e">
        <f ca="1">NUMBERSTRING(INT(D13*10000),2)&amp;"元整"</f>
        <v>#REF!</v>
      </c>
    </row>
    <row r="15" spans="1:5" ht="15">
      <c r="B15" s="3227"/>
      <c r="C15" s="1391" t="s">
        <v>921</v>
      </c>
      <c r="D15" s="805" t="e">
        <f ca="1">结果表!H108</f>
        <v>#REF!</v>
      </c>
    </row>
    <row r="16" spans="1:5" ht="15">
      <c r="B16" s="3228" t="str">
        <f>结果表!E109</f>
        <v>——</v>
      </c>
      <c r="C16" s="1395" t="s">
        <v>922</v>
      </c>
      <c r="D16" s="1396" t="str">
        <f>结果表!H109</f>
        <v>——</v>
      </c>
    </row>
    <row r="17" spans="1:5" ht="15.75">
      <c r="B17" s="3229"/>
      <c r="C17" s="1390" t="s">
        <v>923</v>
      </c>
      <c r="D17" s="796" t="e">
        <f>NUMBERSTRING(INT(D16*10000),2)&amp;"元整"</f>
        <v>#VALUE!</v>
      </c>
    </row>
    <row r="18" spans="1:5" ht="15">
      <c r="B18" s="3230"/>
      <c r="C18" s="1391" t="s">
        <v>912</v>
      </c>
      <c r="D18" s="805" t="str">
        <f>结果表!H110</f>
        <v>——</v>
      </c>
    </row>
    <row r="19" spans="1:5" ht="15.75">
      <c r="B19" s="3221" t="str">
        <f>结果表!E111</f>
        <v>——</v>
      </c>
      <c r="C19" s="1395" t="s">
        <v>910</v>
      </c>
      <c r="D19" s="797" t="str">
        <f>结果表!H111</f>
        <v>——</v>
      </c>
    </row>
    <row r="20" spans="1:5" ht="15.75">
      <c r="B20" s="3222"/>
      <c r="C20" s="1390" t="s">
        <v>923</v>
      </c>
      <c r="D20" s="796" t="e">
        <f>NUMBERSTRING(INT(D19*10000),2)&amp;"元整"</f>
        <v>#VALUE!</v>
      </c>
    </row>
    <row r="21" spans="1:5" ht="15.75" thickBot="1">
      <c r="B21" s="3223"/>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54242.66</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4" t="s">
        <v>3375</v>
      </c>
      <c r="F2" s="161" t="s">
        <v>1934</v>
      </c>
      <c r="G2" s="162" t="str">
        <f>IF(E2="商业",项目基本情况!B37,IF(E2="办公",项目基本情况!C37,IF(E2="住宅",项目基本情况!D37,IF(E2="工业",项目基本情况!E37,项目基本情况!F37))))</f>
        <v>六级</v>
      </c>
      <c r="H2" s="161" t="s">
        <v>1935</v>
      </c>
      <c r="I2" s="162" t="str">
        <f>IF(E2="商业",项目基本情况!B38,IF(E2="办公",项目基本情况!C38,IF(E2="住宅",项目基本情况!D38,IF(E2="工业",项目基本情况!E38,项目基本情况!F38))))</f>
        <v>Ⅵ-昌3</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0</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2" t="s">
        <v>3393</v>
      </c>
      <c r="F3" s="1843" t="s">
        <v>3394</v>
      </c>
      <c r="G3" s="707">
        <f>IF(F3="宗地容积率",'数据-汇总表'!I4,IF(F3="估价对象容积率",'数据-汇总表'!I6,'数据-汇总表'!I7))</f>
        <v>2.5</v>
      </c>
      <c r="H3" s="161" t="s">
        <v>1940</v>
      </c>
      <c r="I3" s="728"/>
      <c r="J3" s="1837" t="s">
        <v>1941</v>
      </c>
      <c r="K3" s="1055"/>
      <c r="L3" s="1842" t="s">
        <v>1942</v>
      </c>
      <c r="M3" s="810">
        <f>SUMPRODUCT((区片价!B30:B54=I2)*(区片价!C3:G3=E2)*(区片价!C30:G54))</f>
        <v>0</v>
      </c>
      <c r="N3" s="812">
        <f>SUMPRODUCT((因素修正幅度!B30:B54=I2)*(因素修正幅度!C3:G3=E2)*(因素修正幅度!C30:G54))</f>
        <v>0</v>
      </c>
      <c r="O3" s="1055"/>
      <c r="P3" s="1055"/>
      <c r="Q3" s="1055"/>
      <c r="R3" s="1127">
        <v>2</v>
      </c>
      <c r="S3" s="3057">
        <f>ROUND(SUMPRODUCT((B106:B110=R3)*(C105:N105=G2)*(C106:N110)),4)</f>
        <v>1.1838</v>
      </c>
      <c r="T3" s="3057">
        <f t="shared" si="0"/>
        <v>0</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518"/>
      <c r="B4" s="3519"/>
      <c r="C4" s="3519"/>
      <c r="D4" s="3520"/>
      <c r="E4" s="3520"/>
      <c r="F4" s="3520"/>
      <c r="G4" s="3520"/>
      <c r="H4" s="3520"/>
      <c r="I4" s="3520"/>
      <c r="J4" s="3521"/>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0</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12821</v>
      </c>
      <c r="D5" s="1250">
        <f>ROUND(C6*C17+C20,0)</f>
        <v>12210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0.88239999999999996</v>
      </c>
      <c r="T5" s="3057">
        <f t="shared" si="0"/>
        <v>0</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12210</v>
      </c>
      <c r="D6" s="1856"/>
      <c r="E6" s="1857"/>
      <c r="F6" s="1857"/>
      <c r="G6" s="1858"/>
      <c r="H6" s="1858"/>
      <c r="I6" s="1858"/>
      <c r="J6" s="1859"/>
      <c r="K6" s="1290"/>
      <c r="L6" s="1842" t="s">
        <v>1948</v>
      </c>
      <c r="M6" s="810">
        <f>SUMPRODUCT((区片价!B127:B189=I2)*(区片价!C3:G3=E2)*(区片价!C127:G189))</f>
        <v>12210</v>
      </c>
      <c r="N6" s="812">
        <f>SUMPRODUCT((因素修正幅度!B127:B189=I2)*(因素修正幅度!C3:G3=E2)*(因素修正幅度!C127:G189))</f>
        <v>0.11700000000000001</v>
      </c>
      <c r="O6" s="1055"/>
      <c r="P6" s="1055"/>
      <c r="Q6" s="1055"/>
      <c r="R6" s="1127">
        <v>5</v>
      </c>
      <c r="S6" s="3057">
        <f>ROUND(SUMPRODUCT((B106:B110=R6)*(C105:N105=G2)*(C106:N110)),4)</f>
        <v>0.84799999999999998</v>
      </c>
      <c r="T6" s="3057">
        <f t="shared" si="0"/>
        <v>0</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六级</v>
      </c>
      <c r="Y7" s="1129" t="s">
        <v>1953</v>
      </c>
      <c r="Z7" s="1130">
        <f>G3</f>
        <v>2.5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515" t="s">
        <v>1957</v>
      </c>
      <c r="X8" s="3516"/>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517"/>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517"/>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3390</v>
      </c>
      <c r="D15" s="1882" t="s">
        <v>3390</v>
      </c>
      <c r="E15" s="1883" t="s">
        <v>3391</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522" t="s">
        <v>3254</v>
      </c>
      <c r="B20" s="158" t="s">
        <v>1991</v>
      </c>
      <c r="C20" s="3025">
        <f>ROUND(IF(F21="与级别开发程度一致",0,(G21-E21)/C21),0)</f>
        <v>0</v>
      </c>
      <c r="D20" s="3040" t="s">
        <v>1995</v>
      </c>
      <c r="E20" s="3041"/>
      <c r="F20" s="3528" t="s">
        <v>1992</v>
      </c>
      <c r="G20" s="3529"/>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523"/>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3392</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45652</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15</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0.95169999999999999</v>
      </c>
      <c r="D24" s="1897" t="s">
        <v>2004</v>
      </c>
      <c r="E24" s="1246">
        <f>存贷款利率!E22/100</f>
        <v>4.3499999999999997E-2</v>
      </c>
      <c r="F24" s="1897" t="s">
        <v>1996</v>
      </c>
      <c r="G24" s="723">
        <f>SUMIF(M30:Q30,E2,M33:Q33)</f>
        <v>0.05</v>
      </c>
      <c r="H24" s="1897" t="s">
        <v>2005</v>
      </c>
      <c r="I24" s="724">
        <f>SUMIF('数据-取费表'!C6:C15,E2,'数据-取费表'!F6:F15)/COUNTIF('数据-取费表'!C6:C15,E2)</f>
        <v>51.88</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1</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1</v>
      </c>
      <c r="E26" s="707">
        <f>ROUNDDOWN(G3,1)</f>
        <v>2.5</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54242.66</v>
      </c>
      <c r="E33" s="726">
        <f>ROUND(C33*D33/10000,0)</f>
        <v>0</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526"/>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527"/>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527"/>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51" hidden="1">
      <c r="A51" s="1965" t="s">
        <v>2050</v>
      </c>
      <c r="B51" s="1260" t="str">
        <f>估价对象房地状况!C18</f>
        <v>周边有537路、643路、905路等多条公交线路，紧邻城市支路——爱博路，综合评价交通便捷度一般</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14.75" hidden="1">
      <c r="A56" s="1971" t="s">
        <v>2056</v>
      </c>
      <c r="B56" s="1238" t="str">
        <f>估价对象房地状况!C21</f>
        <v>医院：北京太阳城医院医院等医疗机构；
学校：北京商业学校昌平校区、北京师范大学亚太实验学校等教育机构；
商业：和鑫来生活超市等商业设施；
综合评价公共服务设施齐备度一般。</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39" hidden="1" thickBot="1">
      <c r="A58" s="1972" t="s">
        <v>2058</v>
      </c>
      <c r="B58" s="1973" t="str">
        <f>估价对象房地状况!C20</f>
        <v>自然环境：温榆河水系等自然及人文景观；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51" hidden="1">
      <c r="A62" s="1965" t="s">
        <v>2050</v>
      </c>
      <c r="B62" s="1260" t="str">
        <f>估价对象房地状况!C18</f>
        <v>周边有537路、643路、905路等多条公交线路，紧邻城市支路——爱博路，综合评价交通便捷度一般</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14.75" hidden="1">
      <c r="A67" s="1965" t="s">
        <v>2056</v>
      </c>
      <c r="B67" s="1238" t="str">
        <f>估价对象房地状况!C21</f>
        <v>医院：北京太阳城医院医院等医疗机构；
学校：北京商业学校昌平校区、北京师范大学亚太实验学校等教育机构；
商业：和鑫来生活超市等商业设施；
综合评价公共服务设施齐备度一般。</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39" hidden="1" thickBot="1">
      <c r="A69" s="1972" t="s">
        <v>2058</v>
      </c>
      <c r="B69" s="1974" t="str">
        <f>估价对象房地状况!C20</f>
        <v>自然环境：温榆河水系等自然及人文景观；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周边有太阳城、远洋傲北、冠华苑、冠雅苑等住宅小区，居住社区成熟度较好。</v>
      </c>
      <c r="C72" s="1882" t="s">
        <v>3395</v>
      </c>
      <c r="D72" s="1001">
        <f t="shared" ref="D72:D80" si="16">SUMIF($J$71:$N$71,C72,J72:N72)</f>
        <v>9.7999999999999997E-3</v>
      </c>
      <c r="E72" s="701">
        <f>ROUND(SUM(D72:D80),4)</f>
        <v>4.4900000000000002E-2</v>
      </c>
      <c r="F72" s="1673">
        <f>IF(E2="住宅",SUMIF(L1:L12,G2,N1:N12),"——")</f>
        <v>0.11700000000000001</v>
      </c>
      <c r="G72" s="999">
        <v>9.7999999999999997E-3</v>
      </c>
      <c r="H72" s="1002">
        <f t="shared" ref="H72:H80" si="17">IFERROR(ROUNDDOWN($F$72*I72/2,4),"——")</f>
        <v>1.17E-2</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51">
      <c r="A73" s="1965" t="s">
        <v>2050</v>
      </c>
      <c r="B73" s="1260" t="str">
        <f>估价对象房地状况!C18</f>
        <v>周边有537路、643路、905路等多条公交线路，紧邻城市支路——爱博路，综合评价交通便捷度一般</v>
      </c>
      <c r="C73" s="1882" t="s">
        <v>3395</v>
      </c>
      <c r="D73" s="1001">
        <f t="shared" si="16"/>
        <v>1.2699999999999999E-2</v>
      </c>
      <c r="E73" s="704"/>
      <c r="F73" s="1673"/>
      <c r="G73" s="999">
        <v>1.2699999999999999E-2</v>
      </c>
      <c r="H73" s="1002">
        <f t="shared" si="17"/>
        <v>1.52E-2</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3395</v>
      </c>
      <c r="D74" s="1001">
        <f t="shared" si="16"/>
        <v>4.8999999999999998E-3</v>
      </c>
      <c r="E74" s="704"/>
      <c r="F74" s="1673"/>
      <c r="G74" s="999">
        <v>4.8999999999999998E-3</v>
      </c>
      <c r="H74" s="1002">
        <f t="shared" si="17"/>
        <v>5.7999999999999996E-3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3396</v>
      </c>
      <c r="D75" s="1001">
        <f t="shared" si="16"/>
        <v>0</v>
      </c>
      <c r="E75" s="704"/>
      <c r="F75" s="1673"/>
      <c r="G75" s="999">
        <v>2.3999999999999998E-3</v>
      </c>
      <c r="H75" s="1002">
        <f t="shared" si="17"/>
        <v>2.8999999999999998E-3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14.75">
      <c r="A76" s="1965" t="s">
        <v>2056</v>
      </c>
      <c r="B76" s="1238" t="str">
        <f>估价对象房地状况!C21</f>
        <v>医院：北京太阳城医院医院等医疗机构；
学校：北京商业学校昌平校区、北京师范大学亚太实验学校等教育机构；
商业：和鑫来生活超市等商业设施；
综合评价公共服务设施齐备度一般。</v>
      </c>
      <c r="C76" s="1882" t="s">
        <v>3395</v>
      </c>
      <c r="D76" s="1001">
        <f t="shared" si="16"/>
        <v>3.8999999999999998E-3</v>
      </c>
      <c r="E76" s="704"/>
      <c r="F76" s="1673"/>
      <c r="G76" s="999">
        <v>3.8999999999999998E-3</v>
      </c>
      <c r="H76" s="1002">
        <f t="shared" si="17"/>
        <v>4.5999999999999999E-3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3397</v>
      </c>
      <c r="D77" s="1001">
        <f t="shared" si="16"/>
        <v>8.8000000000000005E-3</v>
      </c>
      <c r="E77" s="704"/>
      <c r="F77" s="1673"/>
      <c r="G77" s="999">
        <v>4.4000000000000003E-3</v>
      </c>
      <c r="H77" s="1002">
        <f t="shared" si="17"/>
        <v>5.1999999999999998E-3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3395</v>
      </c>
      <c r="D78" s="1001">
        <f t="shared" si="16"/>
        <v>2.3999999999999998E-3</v>
      </c>
      <c r="E78" s="704"/>
      <c r="F78" s="1673"/>
      <c r="G78" s="999">
        <v>2.3999999999999998E-3</v>
      </c>
      <c r="H78" s="1002">
        <f t="shared" si="17"/>
        <v>2.8999999999999998E-3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38.25">
      <c r="A79" s="1965" t="s">
        <v>2058</v>
      </c>
      <c r="B79" s="1968" t="str">
        <f>估价对象房地状况!C20</f>
        <v>自然环境：温榆河水系等自然及人文景观；
综合评价环境状况较好。</v>
      </c>
      <c r="C79" s="1882" t="s">
        <v>3396</v>
      </c>
      <c r="D79" s="1001">
        <f t="shared" si="16"/>
        <v>0</v>
      </c>
      <c r="E79" s="704"/>
      <c r="F79" s="1673"/>
      <c r="G79" s="999">
        <v>5.7999999999999996E-3</v>
      </c>
      <c r="H79" s="1002">
        <f t="shared" si="17"/>
        <v>7.0000000000000001E-3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3395</v>
      </c>
      <c r="D80" s="1001">
        <f t="shared" si="16"/>
        <v>2.3999999999999998E-3</v>
      </c>
      <c r="E80" s="705"/>
      <c r="F80" s="1673"/>
      <c r="G80" s="999">
        <v>2.3999999999999998E-3</v>
      </c>
      <c r="H80" s="1002">
        <f t="shared" si="17"/>
        <v>2.8999999999999998E-3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51">
      <c r="A94" s="3074" t="s">
        <v>3273</v>
      </c>
      <c r="B94" s="3065" t="str">
        <f>估价对象房地状况!C18</f>
        <v>周边有537路、643路、905路等多条公交线路，紧邻城市支路——爱博路，综合评价交通便捷度一般</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14.75">
      <c r="A99" s="3074" t="s">
        <v>3277</v>
      </c>
      <c r="B99" s="3065" t="str">
        <f>估价对象房地状况!C21</f>
        <v>医院：北京太阳城医院医院等医疗机构；
学校：北京商业学校昌平校区、北京师范大学亚太实验学校等教育机构；
商业：和鑫来生活超市等商业设施；
综合评价公共服务设施齐备度一般。</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39" thickBot="1">
      <c r="A101" s="3075" t="s">
        <v>3279</v>
      </c>
      <c r="B101" s="3082" t="str">
        <f>估价对象房地状况!C20</f>
        <v>自然环境：温榆河水系等自然及人文景观；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524" t="s">
        <v>3294</v>
      </c>
      <c r="B103" s="3524"/>
      <c r="C103" s="3524"/>
      <c r="D103" s="3524"/>
      <c r="E103" s="3524"/>
      <c r="F103" s="3524"/>
      <c r="G103" s="3524"/>
      <c r="H103" s="3524"/>
      <c r="I103" s="3524"/>
      <c r="J103" s="3524"/>
      <c r="K103" s="1665"/>
      <c r="L103" s="1665"/>
      <c r="M103" s="1665"/>
      <c r="N103" s="1665"/>
    </row>
    <row r="104" spans="1:14">
      <c r="A104" s="3525" t="s">
        <v>3295</v>
      </c>
      <c r="B104" s="3525" t="s">
        <v>3296</v>
      </c>
      <c r="C104" s="3084" t="s">
        <v>3297</v>
      </c>
      <c r="D104" s="3085"/>
      <c r="E104" s="3085"/>
      <c r="F104" s="3085"/>
      <c r="G104" s="3085"/>
      <c r="H104" s="3085"/>
      <c r="I104" s="3085"/>
      <c r="J104" s="3086"/>
      <c r="K104" s="3087"/>
      <c r="L104" s="3087"/>
      <c r="M104" s="3087"/>
      <c r="N104" s="3087"/>
    </row>
    <row r="105" spans="1:14">
      <c r="A105" s="3525"/>
      <c r="B105" s="3525"/>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511"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12"/>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12"/>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12"/>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12"/>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12"/>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513"/>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514" t="s">
        <v>3311</v>
      </c>
      <c r="B113" s="3514"/>
      <c r="C113" s="3514"/>
      <c r="D113" s="3514"/>
      <c r="E113" s="3514"/>
      <c r="F113" s="3514"/>
      <c r="G113" s="3514"/>
      <c r="H113" s="3514"/>
      <c r="I113" s="3514"/>
      <c r="J113" s="3514"/>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2.5</v>
      </c>
      <c r="C116" s="3093" t="s">
        <v>3313</v>
      </c>
      <c r="D116" s="3094">
        <f>SUMPRODUCT((A118:A122=F116)*(B117:M117=H116)*B118:M122)</f>
        <v>0.90080000000000005</v>
      </c>
      <c r="E116" s="161" t="s">
        <v>3314</v>
      </c>
      <c r="F116" s="3095" t="str">
        <f>E2</f>
        <v>住宅</v>
      </c>
      <c r="G116" s="161" t="s">
        <v>3315</v>
      </c>
      <c r="H116" s="3095" t="str">
        <f>G2</f>
        <v>六级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0.96930000000000005</v>
      </c>
      <c r="C118" s="3083">
        <f>B118</f>
        <v>0.96930000000000005</v>
      </c>
      <c r="D118" s="3083">
        <f>ROUND(0.949-0.014*B116,4)</f>
        <v>0.91400000000000003</v>
      </c>
      <c r="E118" s="3083">
        <f>D118</f>
        <v>0.91400000000000003</v>
      </c>
      <c r="F118" s="3083">
        <f>E118</f>
        <v>0.91400000000000003</v>
      </c>
      <c r="G118" s="3083">
        <f>F118</f>
        <v>0.91400000000000003</v>
      </c>
      <c r="H118" s="3083">
        <f>G118</f>
        <v>0.91400000000000003</v>
      </c>
      <c r="I118" s="3083">
        <f>ROUND(0.8486-0.018*B116,4)</f>
        <v>0.80359999999999998</v>
      </c>
      <c r="J118" s="3083">
        <f t="shared" ref="J118:M122" si="32">I118</f>
        <v>0.80359999999999998</v>
      </c>
      <c r="K118" s="3083">
        <f t="shared" si="32"/>
        <v>0.80359999999999998</v>
      </c>
      <c r="L118" s="3083">
        <f t="shared" si="32"/>
        <v>0.80359999999999998</v>
      </c>
      <c r="M118" s="3103">
        <f t="shared" si="32"/>
        <v>0.80359999999999998</v>
      </c>
      <c r="N118" s="3091"/>
    </row>
    <row r="119" spans="1:14">
      <c r="A119" s="3051" t="s">
        <v>3329</v>
      </c>
      <c r="B119" s="3083">
        <f>ROUND(0.993-0.0112*B116,4)</f>
        <v>0.96499999999999997</v>
      </c>
      <c r="C119" s="3083">
        <f>B119</f>
        <v>0.96499999999999997</v>
      </c>
      <c r="D119" s="3083">
        <f>ROUND(0.9415-0.0142*B116,4)</f>
        <v>0.90600000000000003</v>
      </c>
      <c r="E119" s="3083">
        <f t="shared" ref="E119:H120" si="33">D119</f>
        <v>0.90600000000000003</v>
      </c>
      <c r="F119" s="3083">
        <f t="shared" si="33"/>
        <v>0.90600000000000003</v>
      </c>
      <c r="G119" s="3083">
        <f t="shared" si="33"/>
        <v>0.90600000000000003</v>
      </c>
      <c r="H119" s="3083">
        <f t="shared" si="33"/>
        <v>0.90600000000000003</v>
      </c>
      <c r="I119" s="3083">
        <f>ROUND(0.838-0.0182*B116,4)</f>
        <v>0.79249999999999998</v>
      </c>
      <c r="J119" s="3083">
        <f t="shared" si="32"/>
        <v>0.79249999999999998</v>
      </c>
      <c r="K119" s="3083">
        <f t="shared" si="32"/>
        <v>0.79249999999999998</v>
      </c>
      <c r="L119" s="3083">
        <f t="shared" si="32"/>
        <v>0.79249999999999998</v>
      </c>
      <c r="M119" s="3103">
        <f t="shared" si="32"/>
        <v>0.79249999999999998</v>
      </c>
      <c r="N119" s="3091"/>
    </row>
    <row r="120" spans="1:14">
      <c r="A120" s="3051" t="s">
        <v>3330</v>
      </c>
      <c r="B120" s="3083">
        <f>ROUND(0.9448-0.0115*B116,4)</f>
        <v>0.91610000000000003</v>
      </c>
      <c r="C120" s="3083">
        <f>B120</f>
        <v>0.91610000000000003</v>
      </c>
      <c r="D120" s="3083">
        <f>ROUND(0.937-0.0145*B116,4)</f>
        <v>0.90080000000000005</v>
      </c>
      <c r="E120" s="3083">
        <f t="shared" si="33"/>
        <v>0.90080000000000005</v>
      </c>
      <c r="F120" s="3083">
        <f t="shared" si="33"/>
        <v>0.90080000000000005</v>
      </c>
      <c r="G120" s="3083">
        <f t="shared" si="33"/>
        <v>0.90080000000000005</v>
      </c>
      <c r="H120" s="3083">
        <f t="shared" si="33"/>
        <v>0.90080000000000005</v>
      </c>
      <c r="I120" s="3083">
        <f>ROUND(0.7965-0.0185*B116,4)</f>
        <v>0.75029999999999997</v>
      </c>
      <c r="J120" s="3083">
        <f t="shared" si="32"/>
        <v>0.75029999999999997</v>
      </c>
      <c r="K120" s="3083">
        <f t="shared" si="32"/>
        <v>0.75029999999999997</v>
      </c>
      <c r="L120" s="3083">
        <f t="shared" si="32"/>
        <v>0.75029999999999997</v>
      </c>
      <c r="M120" s="3103">
        <f t="shared" si="32"/>
        <v>0.75029999999999997</v>
      </c>
      <c r="N120" s="3091"/>
    </row>
    <row r="121" spans="1:14" ht="13.5" thickBot="1">
      <c r="A121" s="3104" t="s">
        <v>3331</v>
      </c>
      <c r="B121" s="3105">
        <f>ROUND(0.7836-0.012*B116,4)</f>
        <v>0.75360000000000005</v>
      </c>
      <c r="C121" s="3105">
        <f>B121</f>
        <v>0.75360000000000005</v>
      </c>
      <c r="D121" s="3105">
        <f>ROUND(0.753-0.015*B116,4)</f>
        <v>0.71550000000000002</v>
      </c>
      <c r="E121" s="3105">
        <f>D121</f>
        <v>0.71550000000000002</v>
      </c>
      <c r="F121" s="3105">
        <f>E121</f>
        <v>0.71550000000000002</v>
      </c>
      <c r="G121" s="3105">
        <f>ROUND(0.6612-0.018*B116,4)</f>
        <v>0.61619999999999997</v>
      </c>
      <c r="H121" s="3105">
        <f>G121</f>
        <v>0.61619999999999997</v>
      </c>
      <c r="I121" s="3105">
        <f>ROUND(0.5905-0.019*B116,4)</f>
        <v>0.54300000000000004</v>
      </c>
      <c r="J121" s="3105">
        <f t="shared" si="32"/>
        <v>0.54300000000000004</v>
      </c>
      <c r="K121" s="3105">
        <f t="shared" si="32"/>
        <v>0.54300000000000004</v>
      </c>
      <c r="L121" s="3105">
        <f t="shared" si="32"/>
        <v>0.54300000000000004</v>
      </c>
      <c r="M121" s="3106">
        <f t="shared" si="32"/>
        <v>0.54300000000000004</v>
      </c>
      <c r="N121" s="3091"/>
    </row>
    <row r="122" spans="1:14">
      <c r="A122" s="3107" t="s">
        <v>2610</v>
      </c>
      <c r="B122" s="3083">
        <f>ROUND(0.9404-0.0106*B116,4)</f>
        <v>0.91390000000000005</v>
      </c>
      <c r="C122" s="3083">
        <f>B122</f>
        <v>0.91390000000000005</v>
      </c>
      <c r="D122" s="3083">
        <f>ROUND(0.8955-0.0135*B116,4)</f>
        <v>0.86180000000000001</v>
      </c>
      <c r="E122" s="3083">
        <f>D122</f>
        <v>0.86180000000000001</v>
      </c>
      <c r="F122" s="3083">
        <f>E122</f>
        <v>0.86180000000000001</v>
      </c>
      <c r="G122" s="3083">
        <f>F122</f>
        <v>0.86180000000000001</v>
      </c>
      <c r="H122" s="3083">
        <f>G122</f>
        <v>0.86180000000000001</v>
      </c>
      <c r="I122" s="3083">
        <f>ROUND(0.7632-0.0166*B116,4)</f>
        <v>0.72170000000000001</v>
      </c>
      <c r="J122" s="3083">
        <f t="shared" si="32"/>
        <v>0.72170000000000001</v>
      </c>
      <c r="K122" s="3083">
        <f t="shared" si="32"/>
        <v>0.72170000000000001</v>
      </c>
      <c r="L122" s="3083">
        <f t="shared" si="32"/>
        <v>0.72170000000000001</v>
      </c>
      <c r="M122" s="3103">
        <f t="shared" si="32"/>
        <v>0.72170000000000001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39" t="s">
        <v>2605</v>
      </c>
      <c r="B20" s="3534" t="s">
        <v>2626</v>
      </c>
      <c r="C20" s="2836" t="s">
        <v>2437</v>
      </c>
      <c r="D20" s="2837"/>
      <c r="E20" s="2838">
        <v>1</v>
      </c>
      <c r="F20" s="2839" t="s">
        <v>2438</v>
      </c>
      <c r="G20" s="2839"/>
    </row>
    <row r="21" spans="1:13" ht="19.5" customHeight="1">
      <c r="A21" s="3540"/>
      <c r="B21" s="3533"/>
      <c r="C21" s="2840" t="s">
        <v>2439</v>
      </c>
      <c r="D21" s="2841"/>
      <c r="E21" s="2842">
        <v>1</v>
      </c>
      <c r="F21" s="2839" t="s">
        <v>2440</v>
      </c>
      <c r="G21" s="2839"/>
    </row>
    <row r="22" spans="1:13" ht="19.5" customHeight="1">
      <c r="A22" s="3540"/>
      <c r="B22" s="3533"/>
      <c r="C22" s="2840" t="s">
        <v>2441</v>
      </c>
      <c r="D22" s="2841"/>
      <c r="E22" s="2842">
        <v>0.9</v>
      </c>
      <c r="F22" s="2839" t="s">
        <v>2442</v>
      </c>
      <c r="G22" s="2839"/>
    </row>
    <row r="23" spans="1:13" ht="19.5" customHeight="1">
      <c r="A23" s="3540"/>
      <c r="B23" s="3533"/>
      <c r="C23" s="2840" t="s">
        <v>2443</v>
      </c>
      <c r="D23" s="2841"/>
      <c r="E23" s="2842">
        <v>0.9</v>
      </c>
      <c r="F23" s="2839" t="s">
        <v>2444</v>
      </c>
      <c r="G23" s="2839"/>
    </row>
    <row r="24" spans="1:13" ht="19.5" customHeight="1">
      <c r="A24" s="3540"/>
      <c r="B24" s="3533"/>
      <c r="C24" s="2840" t="s">
        <v>2445</v>
      </c>
      <c r="D24" s="2841"/>
      <c r="E24" s="2842">
        <v>0.8</v>
      </c>
      <c r="F24" s="2839" t="s">
        <v>2446</v>
      </c>
      <c r="G24" s="2839"/>
    </row>
    <row r="25" spans="1:13" ht="19.5" customHeight="1" thickBot="1">
      <c r="A25" s="3541"/>
      <c r="B25" s="3535"/>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36" t="s">
        <v>2629</v>
      </c>
      <c r="B27" s="3534" t="s">
        <v>2610</v>
      </c>
      <c r="C27" s="2836" t="s">
        <v>2450</v>
      </c>
      <c r="D27" s="2837"/>
      <c r="E27" s="2838">
        <v>1</v>
      </c>
      <c r="F27" s="2839" t="s">
        <v>2451</v>
      </c>
      <c r="G27" s="2839"/>
    </row>
    <row r="28" spans="1:13" ht="19.5" customHeight="1">
      <c r="A28" s="3537"/>
      <c r="B28" s="3533"/>
      <c r="C28" s="2840" t="s">
        <v>2452</v>
      </c>
      <c r="D28" s="2841"/>
      <c r="E28" s="2842">
        <v>1</v>
      </c>
      <c r="F28" s="2839" t="s">
        <v>2453</v>
      </c>
      <c r="G28" s="2839"/>
    </row>
    <row r="29" spans="1:13" ht="19.5" customHeight="1">
      <c r="A29" s="3537"/>
      <c r="B29" s="3533"/>
      <c r="C29" s="2840" t="s">
        <v>2454</v>
      </c>
      <c r="D29" s="2841"/>
      <c r="E29" s="2842">
        <v>0.8</v>
      </c>
      <c r="F29" s="2839" t="s">
        <v>2455</v>
      </c>
      <c r="G29" s="2839"/>
    </row>
    <row r="30" spans="1:13" ht="19.5" customHeight="1">
      <c r="A30" s="3537"/>
      <c r="B30" s="3533"/>
      <c r="C30" s="2840" t="s">
        <v>2456</v>
      </c>
      <c r="D30" s="2841"/>
      <c r="E30" s="2842">
        <v>0.8</v>
      </c>
      <c r="F30" s="2839" t="s">
        <v>2457</v>
      </c>
      <c r="G30" s="2839"/>
    </row>
    <row r="31" spans="1:13" ht="19.5" customHeight="1">
      <c r="A31" s="3537"/>
      <c r="B31" s="3533"/>
      <c r="C31" s="2840" t="s">
        <v>2458</v>
      </c>
      <c r="D31" s="2841"/>
      <c r="E31" s="2842">
        <v>0.8</v>
      </c>
      <c r="F31" s="2839" t="s">
        <v>2459</v>
      </c>
      <c r="G31" s="2839"/>
    </row>
    <row r="32" spans="1:13" ht="19.5" customHeight="1">
      <c r="A32" s="3537"/>
      <c r="B32" s="3533"/>
      <c r="C32" s="2840" t="s">
        <v>2460</v>
      </c>
      <c r="D32" s="2841"/>
      <c r="E32" s="2842">
        <v>0.7</v>
      </c>
      <c r="F32" s="2839" t="s">
        <v>2461</v>
      </c>
      <c r="G32" s="2839"/>
    </row>
    <row r="33" spans="1:7" ht="19.5" customHeight="1">
      <c r="A33" s="3537"/>
      <c r="B33" s="3533"/>
      <c r="C33" s="2840" t="s">
        <v>2462</v>
      </c>
      <c r="D33" s="2841"/>
      <c r="E33" s="2842">
        <v>0.8</v>
      </c>
      <c r="F33" s="2839" t="s">
        <v>2463</v>
      </c>
      <c r="G33" s="2839"/>
    </row>
    <row r="34" spans="1:7" ht="19.5" customHeight="1">
      <c r="A34" s="3537"/>
      <c r="B34" s="3533"/>
      <c r="C34" s="2840" t="s">
        <v>2464</v>
      </c>
      <c r="D34" s="2841"/>
      <c r="E34" s="2842">
        <v>0.6</v>
      </c>
      <c r="F34" s="2839" t="s">
        <v>2465</v>
      </c>
      <c r="G34" s="2839"/>
    </row>
    <row r="35" spans="1:7" ht="19.5" customHeight="1">
      <c r="A35" s="3537"/>
      <c r="B35" s="3533"/>
      <c r="C35" s="2840" t="s">
        <v>2466</v>
      </c>
      <c r="D35" s="2841"/>
      <c r="E35" s="2842">
        <v>0.2</v>
      </c>
      <c r="F35" s="2839" t="s">
        <v>2467</v>
      </c>
      <c r="G35" s="2839"/>
    </row>
    <row r="36" spans="1:7" ht="19.5" customHeight="1">
      <c r="A36" s="3537"/>
      <c r="B36" s="3533"/>
      <c r="C36" s="2840" t="s">
        <v>2468</v>
      </c>
      <c r="D36" s="2841"/>
      <c r="E36" s="2842">
        <v>0.2</v>
      </c>
      <c r="F36" s="2839" t="s">
        <v>2469</v>
      </c>
      <c r="G36" s="2839"/>
    </row>
    <row r="37" spans="1:7" ht="19.5" customHeight="1">
      <c r="A37" s="3537"/>
      <c r="B37" s="3531" t="s">
        <v>2630</v>
      </c>
      <c r="C37" s="2840" t="s">
        <v>2470</v>
      </c>
      <c r="D37" s="2841"/>
      <c r="E37" s="2842">
        <v>0.6</v>
      </c>
      <c r="F37" s="2839" t="s">
        <v>2471</v>
      </c>
      <c r="G37" s="2839"/>
    </row>
    <row r="38" spans="1:7" ht="19.5" customHeight="1">
      <c r="A38" s="3537"/>
      <c r="B38" s="3533"/>
      <c r="C38" s="2840" t="s">
        <v>2472</v>
      </c>
      <c r="D38" s="2841"/>
      <c r="E38" s="2842">
        <v>0.6</v>
      </c>
      <c r="F38" s="2839" t="s">
        <v>2473</v>
      </c>
      <c r="G38" s="2839"/>
    </row>
    <row r="39" spans="1:7" ht="19.5" customHeight="1" thickBot="1">
      <c r="A39" s="3538"/>
      <c r="B39" s="3535"/>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39" t="s">
        <v>2608</v>
      </c>
      <c r="B41" s="3534" t="s">
        <v>2632</v>
      </c>
      <c r="C41" s="2836" t="s">
        <v>2477</v>
      </c>
      <c r="D41" s="2837"/>
      <c r="E41" s="2838">
        <v>1</v>
      </c>
      <c r="F41" s="2839" t="s">
        <v>2478</v>
      </c>
      <c r="G41" s="2839"/>
    </row>
    <row r="42" spans="1:7" ht="19.5" customHeight="1">
      <c r="A42" s="3540"/>
      <c r="B42" s="3533"/>
      <c r="C42" s="2840" t="s">
        <v>2479</v>
      </c>
      <c r="D42" s="2841"/>
      <c r="E42" s="2842">
        <v>1</v>
      </c>
      <c r="F42" s="2839" t="s">
        <v>2480</v>
      </c>
      <c r="G42" s="2839"/>
    </row>
    <row r="43" spans="1:7" ht="19.5" customHeight="1">
      <c r="A43" s="3540"/>
      <c r="B43" s="3532"/>
      <c r="C43" s="2840" t="s">
        <v>2481</v>
      </c>
      <c r="D43" s="2841"/>
      <c r="E43" s="2842">
        <v>1.5</v>
      </c>
      <c r="F43" s="2839" t="s">
        <v>2482</v>
      </c>
      <c r="G43" s="2839"/>
    </row>
    <row r="44" spans="1:7" ht="19.5" customHeight="1">
      <c r="A44" s="3540"/>
      <c r="B44" s="2851" t="s">
        <v>2633</v>
      </c>
      <c r="C44" s="2840" t="s">
        <v>2634</v>
      </c>
      <c r="D44" s="2841"/>
      <c r="E44" s="2842">
        <v>2</v>
      </c>
      <c r="F44" s="2839" t="s">
        <v>2483</v>
      </c>
      <c r="G44" s="2839"/>
    </row>
    <row r="45" spans="1:7" ht="19.5" customHeight="1">
      <c r="A45" s="3540"/>
      <c r="B45" s="3531" t="s">
        <v>2635</v>
      </c>
      <c r="C45" s="2840" t="s">
        <v>2484</v>
      </c>
      <c r="D45" s="2841"/>
      <c r="E45" s="2842">
        <v>1</v>
      </c>
      <c r="F45" s="2839" t="s">
        <v>2485</v>
      </c>
      <c r="G45" s="2839"/>
    </row>
    <row r="46" spans="1:7" ht="19.5" customHeight="1">
      <c r="A46" s="3540"/>
      <c r="B46" s="3533"/>
      <c r="C46" s="2840" t="s">
        <v>2486</v>
      </c>
      <c r="D46" s="2841"/>
      <c r="E46" s="2842">
        <v>1</v>
      </c>
      <c r="F46" s="2839" t="s">
        <v>2487</v>
      </c>
      <c r="G46" s="2839"/>
    </row>
    <row r="47" spans="1:7" ht="19.5" customHeight="1">
      <c r="A47" s="3540"/>
      <c r="B47" s="3533"/>
      <c r="C47" s="2840" t="s">
        <v>2488</v>
      </c>
      <c r="D47" s="2841"/>
      <c r="E47" s="2842">
        <v>1</v>
      </c>
      <c r="F47" s="2839" t="s">
        <v>2489</v>
      </c>
      <c r="G47" s="2839"/>
    </row>
    <row r="48" spans="1:7" ht="19.5" customHeight="1">
      <c r="A48" s="3540"/>
      <c r="B48" s="3533"/>
      <c r="C48" s="2840" t="s">
        <v>2490</v>
      </c>
      <c r="D48" s="2841"/>
      <c r="E48" s="2842">
        <v>1</v>
      </c>
      <c r="F48" s="2839" t="s">
        <v>2491</v>
      </c>
      <c r="G48" s="2839"/>
    </row>
    <row r="49" spans="1:7" ht="19.5" customHeight="1">
      <c r="A49" s="3540"/>
      <c r="B49" s="3533"/>
      <c r="C49" s="2840" t="s">
        <v>2492</v>
      </c>
      <c r="D49" s="2841"/>
      <c r="E49" s="2842">
        <v>1</v>
      </c>
      <c r="F49" s="2839" t="s">
        <v>2493</v>
      </c>
      <c r="G49" s="2839"/>
    </row>
    <row r="50" spans="1:7" ht="19.5" customHeight="1">
      <c r="A50" s="3540"/>
      <c r="B50" s="3533"/>
      <c r="C50" s="2840" t="s">
        <v>2494</v>
      </c>
      <c r="D50" s="2841"/>
      <c r="E50" s="2842">
        <v>1</v>
      </c>
      <c r="F50" s="2839" t="s">
        <v>2495</v>
      </c>
      <c r="G50" s="2839"/>
    </row>
    <row r="51" spans="1:7" ht="19.5" customHeight="1" thickBot="1">
      <c r="A51" s="3541"/>
      <c r="B51" s="3535"/>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531" t="s">
        <v>2649</v>
      </c>
      <c r="C73" s="2825" t="s">
        <v>2650</v>
      </c>
      <c r="D73" s="2825" t="s">
        <v>2651</v>
      </c>
      <c r="E73" s="2851">
        <v>0.2</v>
      </c>
      <c r="F73" s="2851">
        <v>25</v>
      </c>
    </row>
    <row r="74" spans="1:7" ht="24">
      <c r="A74" s="2851">
        <v>2</v>
      </c>
      <c r="B74" s="3533"/>
      <c r="C74" s="2825" t="s">
        <v>2652</v>
      </c>
      <c r="D74" s="2825" t="s">
        <v>2653</v>
      </c>
      <c r="E74" s="2851">
        <v>0.2</v>
      </c>
      <c r="F74" s="2851">
        <v>25</v>
      </c>
    </row>
    <row r="75" spans="1:7" ht="24">
      <c r="A75" s="2851">
        <v>3</v>
      </c>
      <c r="B75" s="3533"/>
      <c r="C75" s="2825" t="s">
        <v>2654</v>
      </c>
      <c r="D75" s="2825" t="s">
        <v>2655</v>
      </c>
      <c r="E75" s="2851">
        <v>0.2</v>
      </c>
      <c r="F75" s="2851">
        <v>25</v>
      </c>
    </row>
    <row r="76" spans="1:7" ht="13.5">
      <c r="A76" s="2851">
        <v>4</v>
      </c>
      <c r="B76" s="3533"/>
      <c r="C76" s="2825" t="s">
        <v>2656</v>
      </c>
      <c r="D76" s="2825" t="s">
        <v>2657</v>
      </c>
      <c r="E76" s="2851">
        <v>0.15</v>
      </c>
      <c r="F76" s="2851">
        <v>20</v>
      </c>
    </row>
    <row r="77" spans="1:7" ht="24">
      <c r="A77" s="2851">
        <v>5</v>
      </c>
      <c r="B77" s="3533"/>
      <c r="C77" s="2825" t="s">
        <v>2658</v>
      </c>
      <c r="D77" s="2825" t="s">
        <v>2659</v>
      </c>
      <c r="E77" s="2851">
        <v>0.15</v>
      </c>
      <c r="F77" s="2851">
        <v>20</v>
      </c>
    </row>
    <row r="78" spans="1:7" ht="24">
      <c r="A78" s="2851">
        <v>6</v>
      </c>
      <c r="B78" s="3533"/>
      <c r="C78" s="2825" t="s">
        <v>2660</v>
      </c>
      <c r="D78" s="2825" t="s">
        <v>2661</v>
      </c>
      <c r="E78" s="2851">
        <v>0.15</v>
      </c>
      <c r="F78" s="2851">
        <v>20</v>
      </c>
    </row>
    <row r="79" spans="1:7" ht="24">
      <c r="A79" s="2851">
        <v>7</v>
      </c>
      <c r="B79" s="3533"/>
      <c r="C79" s="2825" t="s">
        <v>2662</v>
      </c>
      <c r="D79" s="2825" t="s">
        <v>2663</v>
      </c>
      <c r="E79" s="2851">
        <v>0.15</v>
      </c>
      <c r="F79" s="2851">
        <v>20</v>
      </c>
    </row>
    <row r="80" spans="1:7" ht="24">
      <c r="A80" s="2851">
        <v>8</v>
      </c>
      <c r="B80" s="3533"/>
      <c r="C80" s="2825" t="s">
        <v>2664</v>
      </c>
      <c r="D80" s="2825" t="s">
        <v>2665</v>
      </c>
      <c r="E80" s="2851">
        <v>0.1</v>
      </c>
      <c r="F80" s="2851">
        <v>15</v>
      </c>
    </row>
    <row r="81" spans="1:6" ht="24">
      <c r="A81" s="2851">
        <v>9</v>
      </c>
      <c r="B81" s="3533"/>
      <c r="C81" s="2825" t="s">
        <v>2666</v>
      </c>
      <c r="D81" s="2825" t="s">
        <v>2667</v>
      </c>
      <c r="E81" s="2851">
        <v>0.1</v>
      </c>
      <c r="F81" s="2851">
        <v>15</v>
      </c>
    </row>
    <row r="82" spans="1:6" ht="24">
      <c r="A82" s="2851">
        <v>10</v>
      </c>
      <c r="B82" s="3533"/>
      <c r="C82" s="2825" t="s">
        <v>2668</v>
      </c>
      <c r="D82" s="2825" t="s">
        <v>2669</v>
      </c>
      <c r="E82" s="2851">
        <v>0.1</v>
      </c>
      <c r="F82" s="2851">
        <v>15</v>
      </c>
    </row>
    <row r="83" spans="1:6" ht="24">
      <c r="A83" s="2851">
        <v>11</v>
      </c>
      <c r="B83" s="3533"/>
      <c r="C83" s="2825" t="s">
        <v>2670</v>
      </c>
      <c r="D83" s="2825" t="s">
        <v>2671</v>
      </c>
      <c r="E83" s="2851">
        <v>0.1</v>
      </c>
      <c r="F83" s="2851">
        <v>15</v>
      </c>
    </row>
    <row r="84" spans="1:6" ht="24">
      <c r="A84" s="2851">
        <v>12</v>
      </c>
      <c r="B84" s="3533"/>
      <c r="C84" s="2825" t="s">
        <v>2672</v>
      </c>
      <c r="D84" s="2825" t="s">
        <v>2673</v>
      </c>
      <c r="E84" s="2851">
        <v>0.1</v>
      </c>
      <c r="F84" s="2851">
        <v>15</v>
      </c>
    </row>
    <row r="85" spans="1:6" ht="13.5">
      <c r="A85" s="2851">
        <v>13</v>
      </c>
      <c r="B85" s="3533"/>
      <c r="C85" s="2825" t="s">
        <v>2674</v>
      </c>
      <c r="D85" s="2825" t="s">
        <v>2675</v>
      </c>
      <c r="E85" s="2851">
        <v>0.1</v>
      </c>
      <c r="F85" s="2851">
        <v>15</v>
      </c>
    </row>
    <row r="86" spans="1:6" ht="13.5">
      <c r="A86" s="2851">
        <v>14</v>
      </c>
      <c r="B86" s="3533"/>
      <c r="C86" s="2825" t="s">
        <v>2676</v>
      </c>
      <c r="D86" s="2825" t="s">
        <v>2677</v>
      </c>
      <c r="E86" s="2851">
        <v>0.1</v>
      </c>
      <c r="F86" s="2851">
        <v>15</v>
      </c>
    </row>
    <row r="87" spans="1:6" ht="13.5">
      <c r="A87" s="2851">
        <v>15</v>
      </c>
      <c r="B87" s="3533"/>
      <c r="C87" s="2825" t="s">
        <v>2678</v>
      </c>
      <c r="D87" s="2825" t="s">
        <v>2679</v>
      </c>
      <c r="E87" s="2851">
        <v>0.1</v>
      </c>
      <c r="F87" s="2851">
        <v>15</v>
      </c>
    </row>
    <row r="88" spans="1:6" ht="24">
      <c r="A88" s="2851">
        <v>16</v>
      </c>
      <c r="B88" s="3533"/>
      <c r="C88" s="2825" t="s">
        <v>2680</v>
      </c>
      <c r="D88" s="2825" t="s">
        <v>2681</v>
      </c>
      <c r="E88" s="2851">
        <v>0.1</v>
      </c>
      <c r="F88" s="2851">
        <v>15</v>
      </c>
    </row>
    <row r="89" spans="1:6" ht="24">
      <c r="A89" s="2851">
        <v>17</v>
      </c>
      <c r="B89" s="3532"/>
      <c r="C89" s="2825" t="s">
        <v>2682</v>
      </c>
      <c r="D89" s="2825" t="s">
        <v>2683</v>
      </c>
      <c r="E89" s="2851">
        <v>0.1</v>
      </c>
      <c r="F89" s="2851">
        <v>15</v>
      </c>
    </row>
    <row r="90" spans="1:6" ht="13.5">
      <c r="A90" s="2851">
        <v>18</v>
      </c>
      <c r="B90" s="3531" t="s">
        <v>2684</v>
      </c>
      <c r="C90" s="2825" t="s">
        <v>2685</v>
      </c>
      <c r="D90" s="2825" t="s">
        <v>2686</v>
      </c>
      <c r="E90" s="2851">
        <v>0.2</v>
      </c>
      <c r="F90" s="2851">
        <v>25</v>
      </c>
    </row>
    <row r="91" spans="1:6" ht="24">
      <c r="A91" s="2851">
        <v>19</v>
      </c>
      <c r="B91" s="3533"/>
      <c r="C91" s="2825" t="s">
        <v>2687</v>
      </c>
      <c r="D91" s="2825" t="s">
        <v>2688</v>
      </c>
      <c r="E91" s="2851">
        <v>0.2</v>
      </c>
      <c r="F91" s="2851">
        <v>25</v>
      </c>
    </row>
    <row r="92" spans="1:6" ht="13.5">
      <c r="A92" s="2851">
        <v>20</v>
      </c>
      <c r="B92" s="3533"/>
      <c r="C92" s="2825" t="s">
        <v>2689</v>
      </c>
      <c r="D92" s="2825" t="s">
        <v>2690</v>
      </c>
      <c r="E92" s="2851">
        <v>0.15</v>
      </c>
      <c r="F92" s="2851">
        <v>20</v>
      </c>
    </row>
    <row r="93" spans="1:6" ht="13.5">
      <c r="A93" s="2851">
        <v>21</v>
      </c>
      <c r="B93" s="3533"/>
      <c r="C93" s="2825" t="s">
        <v>2691</v>
      </c>
      <c r="D93" s="2825" t="s">
        <v>2692</v>
      </c>
      <c r="E93" s="2851">
        <v>0.15</v>
      </c>
      <c r="F93" s="2851">
        <v>20</v>
      </c>
    </row>
    <row r="94" spans="1:6" ht="13.5">
      <c r="A94" s="2851">
        <v>22</v>
      </c>
      <c r="B94" s="3533"/>
      <c r="C94" s="2825" t="s">
        <v>2693</v>
      </c>
      <c r="D94" s="2825" t="s">
        <v>2694</v>
      </c>
      <c r="E94" s="2851">
        <v>0.15</v>
      </c>
      <c r="F94" s="2851">
        <v>20</v>
      </c>
    </row>
    <row r="95" spans="1:6" ht="36">
      <c r="A95" s="2851">
        <v>23</v>
      </c>
      <c r="B95" s="3533"/>
      <c r="C95" s="2825" t="s">
        <v>2695</v>
      </c>
      <c r="D95" s="2825" t="s">
        <v>2696</v>
      </c>
      <c r="E95" s="2851">
        <v>0.15</v>
      </c>
      <c r="F95" s="2851">
        <v>20</v>
      </c>
    </row>
    <row r="96" spans="1:6" ht="13.5">
      <c r="A96" s="2851">
        <v>24</v>
      </c>
      <c r="B96" s="3533"/>
      <c r="C96" s="2825" t="s">
        <v>2697</v>
      </c>
      <c r="D96" s="2825" t="s">
        <v>2698</v>
      </c>
      <c r="E96" s="2851">
        <v>0.1</v>
      </c>
      <c r="F96" s="2851">
        <v>15</v>
      </c>
    </row>
    <row r="97" spans="1:6" ht="13.5">
      <c r="A97" s="2851">
        <v>25</v>
      </c>
      <c r="B97" s="3533"/>
      <c r="C97" s="2825" t="s">
        <v>2699</v>
      </c>
      <c r="D97" s="2825" t="s">
        <v>2700</v>
      </c>
      <c r="E97" s="2851">
        <v>0.1</v>
      </c>
      <c r="F97" s="2851">
        <v>15</v>
      </c>
    </row>
    <row r="98" spans="1:6" ht="24">
      <c r="A98" s="2851">
        <v>26</v>
      </c>
      <c r="B98" s="3533"/>
      <c r="C98" s="2825" t="s">
        <v>2701</v>
      </c>
      <c r="D98" s="2825" t="s">
        <v>2702</v>
      </c>
      <c r="E98" s="2851">
        <v>0.1</v>
      </c>
      <c r="F98" s="2851">
        <v>15</v>
      </c>
    </row>
    <row r="99" spans="1:6" ht="24">
      <c r="A99" s="2851">
        <v>27</v>
      </c>
      <c r="B99" s="3533"/>
      <c r="C99" s="2825" t="s">
        <v>2703</v>
      </c>
      <c r="D99" s="2825" t="s">
        <v>2704</v>
      </c>
      <c r="E99" s="2851">
        <v>0.1</v>
      </c>
      <c r="F99" s="2851">
        <v>15</v>
      </c>
    </row>
    <row r="100" spans="1:6" ht="13.5">
      <c r="A100" s="2851">
        <v>28</v>
      </c>
      <c r="B100" s="3533"/>
      <c r="C100" s="2825" t="s">
        <v>2705</v>
      </c>
      <c r="D100" s="2825" t="s">
        <v>2706</v>
      </c>
      <c r="E100" s="2851">
        <v>0.1</v>
      </c>
      <c r="F100" s="2851">
        <v>15</v>
      </c>
    </row>
    <row r="101" spans="1:6" ht="13.5">
      <c r="A101" s="2851">
        <v>29</v>
      </c>
      <c r="B101" s="3533"/>
      <c r="C101" s="2825" t="s">
        <v>2707</v>
      </c>
      <c r="D101" s="2825" t="s">
        <v>2708</v>
      </c>
      <c r="E101" s="2851">
        <v>0.1</v>
      </c>
      <c r="F101" s="2851">
        <v>15</v>
      </c>
    </row>
    <row r="102" spans="1:6" ht="13.5">
      <c r="A102" s="2851">
        <v>30</v>
      </c>
      <c r="B102" s="3533"/>
      <c r="C102" s="2825" t="s">
        <v>2709</v>
      </c>
      <c r="D102" s="2825" t="s">
        <v>2710</v>
      </c>
      <c r="E102" s="2851">
        <v>0.1</v>
      </c>
      <c r="F102" s="2851">
        <v>15</v>
      </c>
    </row>
    <row r="103" spans="1:6" ht="24">
      <c r="A103" s="2851">
        <v>31</v>
      </c>
      <c r="B103" s="3533"/>
      <c r="C103" s="2825" t="s">
        <v>2711</v>
      </c>
      <c r="D103" s="2825" t="s">
        <v>2712</v>
      </c>
      <c r="E103" s="2851">
        <v>0.1</v>
      </c>
      <c r="F103" s="2851">
        <v>15</v>
      </c>
    </row>
    <row r="104" spans="1:6" ht="24">
      <c r="A104" s="2851">
        <v>32</v>
      </c>
      <c r="B104" s="3533"/>
      <c r="C104" s="2825" t="s">
        <v>2713</v>
      </c>
      <c r="D104" s="2825" t="s">
        <v>2714</v>
      </c>
      <c r="E104" s="2851">
        <v>0.1</v>
      </c>
      <c r="F104" s="2851">
        <v>15</v>
      </c>
    </row>
    <row r="105" spans="1:6" ht="24">
      <c r="A105" s="2851">
        <v>33</v>
      </c>
      <c r="B105" s="3533"/>
      <c r="C105" s="2825" t="s">
        <v>2715</v>
      </c>
      <c r="D105" s="2825" t="s">
        <v>2716</v>
      </c>
      <c r="E105" s="2851">
        <v>0.1</v>
      </c>
      <c r="F105" s="2851">
        <v>15</v>
      </c>
    </row>
    <row r="106" spans="1:6" ht="24">
      <c r="A106" s="2851">
        <v>34</v>
      </c>
      <c r="B106" s="3532"/>
      <c r="C106" s="2825" t="s">
        <v>2717</v>
      </c>
      <c r="D106" s="2825" t="s">
        <v>2718</v>
      </c>
      <c r="E106" s="2851">
        <v>0.1</v>
      </c>
      <c r="F106" s="2851">
        <v>15</v>
      </c>
    </row>
    <row r="107" spans="1:6" ht="24">
      <c r="A107" s="2851">
        <v>35</v>
      </c>
      <c r="B107" s="3531" t="s">
        <v>2719</v>
      </c>
      <c r="C107" s="2851" t="s">
        <v>2720</v>
      </c>
      <c r="D107" s="2825" t="s">
        <v>2721</v>
      </c>
      <c r="E107" s="2851">
        <v>0.15</v>
      </c>
      <c r="F107" s="2851">
        <v>20</v>
      </c>
    </row>
    <row r="108" spans="1:6" ht="13.5">
      <c r="A108" s="2851">
        <v>36</v>
      </c>
      <c r="B108" s="3533"/>
      <c r="C108" s="2851" t="s">
        <v>2722</v>
      </c>
      <c r="D108" s="2825" t="s">
        <v>2723</v>
      </c>
      <c r="E108" s="2851">
        <v>0.15</v>
      </c>
      <c r="F108" s="2851">
        <v>20</v>
      </c>
    </row>
    <row r="109" spans="1:6" ht="13.5">
      <c r="A109" s="2851">
        <v>37</v>
      </c>
      <c r="B109" s="3533"/>
      <c r="C109" s="2851" t="s">
        <v>2724</v>
      </c>
      <c r="D109" s="2825" t="s">
        <v>2725</v>
      </c>
      <c r="E109" s="2851">
        <v>0.15</v>
      </c>
      <c r="F109" s="2851">
        <v>20</v>
      </c>
    </row>
    <row r="110" spans="1:6" ht="13.5">
      <c r="A110" s="2851">
        <v>38</v>
      </c>
      <c r="B110" s="3533"/>
      <c r="C110" s="2851" t="s">
        <v>2726</v>
      </c>
      <c r="D110" s="2825" t="s">
        <v>2727</v>
      </c>
      <c r="E110" s="2851">
        <v>0.1</v>
      </c>
      <c r="F110" s="2851">
        <v>15</v>
      </c>
    </row>
    <row r="111" spans="1:6" ht="24">
      <c r="A111" s="2851">
        <v>39</v>
      </c>
      <c r="B111" s="3533"/>
      <c r="C111" s="2851" t="s">
        <v>2728</v>
      </c>
      <c r="D111" s="2825" t="s">
        <v>2729</v>
      </c>
      <c r="E111" s="2851">
        <v>0.1</v>
      </c>
      <c r="F111" s="2851">
        <v>15</v>
      </c>
    </row>
    <row r="112" spans="1:6" ht="24">
      <c r="A112" s="2851">
        <v>40</v>
      </c>
      <c r="B112" s="3532"/>
      <c r="C112" s="2851" t="s">
        <v>2730</v>
      </c>
      <c r="D112" s="2825" t="s">
        <v>2731</v>
      </c>
      <c r="E112" s="2851">
        <v>0.1</v>
      </c>
      <c r="F112" s="2851">
        <v>15</v>
      </c>
    </row>
    <row r="113" spans="1:6" ht="13.5">
      <c r="A113" s="2851">
        <v>41</v>
      </c>
      <c r="B113" s="3530" t="s">
        <v>2732</v>
      </c>
      <c r="C113" s="2851" t="s">
        <v>2733</v>
      </c>
      <c r="D113" s="2825" t="s">
        <v>2734</v>
      </c>
      <c r="E113" s="2851">
        <v>0.1</v>
      </c>
      <c r="F113" s="2851">
        <v>15</v>
      </c>
    </row>
    <row r="114" spans="1:6" ht="13.5">
      <c r="A114" s="2851">
        <v>42</v>
      </c>
      <c r="B114" s="3530"/>
      <c r="C114" s="2851" t="s">
        <v>2735</v>
      </c>
      <c r="D114" s="2825" t="s">
        <v>2736</v>
      </c>
      <c r="E114" s="2851">
        <v>0.1</v>
      </c>
      <c r="F114" s="2851">
        <v>15</v>
      </c>
    </row>
    <row r="115" spans="1:6" ht="24">
      <c r="A115" s="2851">
        <v>43</v>
      </c>
      <c r="B115" s="3530"/>
      <c r="C115" s="2851" t="s">
        <v>2737</v>
      </c>
      <c r="D115" s="2825" t="s">
        <v>2738</v>
      </c>
      <c r="E115" s="2851">
        <v>0.1</v>
      </c>
      <c r="F115" s="2851">
        <v>15</v>
      </c>
    </row>
    <row r="116" spans="1:6" ht="13.5">
      <c r="A116" s="2851">
        <v>44</v>
      </c>
      <c r="B116" s="3531" t="s">
        <v>2739</v>
      </c>
      <c r="C116" s="2851" t="s">
        <v>2740</v>
      </c>
      <c r="D116" s="2825" t="s">
        <v>2741</v>
      </c>
      <c r="E116" s="2851">
        <v>0.1</v>
      </c>
      <c r="F116" s="2851">
        <v>15</v>
      </c>
    </row>
    <row r="117" spans="1:6" ht="24">
      <c r="A117" s="2851">
        <v>45</v>
      </c>
      <c r="B117" s="3532"/>
      <c r="C117" s="2825" t="s">
        <v>2742</v>
      </c>
      <c r="D117" s="2825" t="s">
        <v>2743</v>
      </c>
      <c r="E117" s="2851">
        <v>0.1</v>
      </c>
      <c r="F117" s="2851">
        <v>15</v>
      </c>
    </row>
    <row r="118" spans="1:6" ht="24">
      <c r="A118" s="2851">
        <v>46</v>
      </c>
      <c r="B118" s="3531" t="s">
        <v>2744</v>
      </c>
      <c r="C118" s="2851" t="s">
        <v>2745</v>
      </c>
      <c r="D118" s="2825" t="s">
        <v>2746</v>
      </c>
      <c r="E118" s="2851">
        <v>0.1</v>
      </c>
      <c r="F118" s="2851">
        <v>15</v>
      </c>
    </row>
    <row r="119" spans="1:6" ht="24">
      <c r="A119" s="2851">
        <v>47</v>
      </c>
      <c r="B119" s="3532"/>
      <c r="C119" s="2851" t="s">
        <v>2747</v>
      </c>
      <c r="D119" s="2825" t="s">
        <v>2748</v>
      </c>
      <c r="E119" s="2851">
        <v>0.1</v>
      </c>
      <c r="F119" s="2851">
        <v>15</v>
      </c>
    </row>
    <row r="120" spans="1:6" ht="13.5">
      <c r="A120" s="2851">
        <v>48</v>
      </c>
      <c r="B120" s="3531" t="s">
        <v>2749</v>
      </c>
      <c r="C120" s="2851" t="s">
        <v>2750</v>
      </c>
      <c r="D120" s="2825" t="s">
        <v>2751</v>
      </c>
      <c r="E120" s="2851">
        <v>0.1</v>
      </c>
      <c r="F120" s="2851">
        <v>15</v>
      </c>
    </row>
    <row r="121" spans="1:6" ht="13.5">
      <c r="A121" s="2851">
        <v>49</v>
      </c>
      <c r="B121" s="3532"/>
      <c r="C121" s="2851" t="s">
        <v>2752</v>
      </c>
      <c r="D121" s="2825" t="s">
        <v>2753</v>
      </c>
      <c r="E121" s="2851">
        <v>0.1</v>
      </c>
      <c r="F121" s="2851">
        <v>15</v>
      </c>
    </row>
    <row r="122" spans="1:6" ht="24">
      <c r="A122" s="2851">
        <v>50</v>
      </c>
      <c r="B122" s="3530" t="s">
        <v>2754</v>
      </c>
      <c r="C122" s="2851" t="s">
        <v>2755</v>
      </c>
      <c r="D122" s="2825" t="s">
        <v>2756</v>
      </c>
      <c r="E122" s="2851">
        <v>0.1</v>
      </c>
      <c r="F122" s="2851">
        <v>15</v>
      </c>
    </row>
    <row r="123" spans="1:6" ht="24">
      <c r="A123" s="2851">
        <v>51</v>
      </c>
      <c r="B123" s="3530"/>
      <c r="C123" s="2851" t="s">
        <v>2757</v>
      </c>
      <c r="D123" s="2825" t="s">
        <v>2758</v>
      </c>
      <c r="E123" s="2851">
        <v>0.1</v>
      </c>
      <c r="F123" s="2851">
        <v>15</v>
      </c>
    </row>
    <row r="124" spans="1:6" ht="24">
      <c r="A124" s="2851">
        <v>52</v>
      </c>
      <c r="B124" s="3530" t="s">
        <v>2759</v>
      </c>
      <c r="C124" s="2851" t="s">
        <v>2760</v>
      </c>
      <c r="D124" s="2825" t="s">
        <v>2761</v>
      </c>
      <c r="E124" s="2851">
        <v>0.1</v>
      </c>
      <c r="F124" s="2851">
        <v>15</v>
      </c>
    </row>
    <row r="125" spans="1:6" ht="24">
      <c r="A125" s="2851">
        <v>53</v>
      </c>
      <c r="B125" s="3530"/>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530" t="s">
        <v>2767</v>
      </c>
      <c r="C127" s="2851" t="s">
        <v>2768</v>
      </c>
      <c r="D127" s="2825" t="s">
        <v>2769</v>
      </c>
      <c r="E127" s="2851">
        <v>0.1</v>
      </c>
      <c r="F127" s="2851">
        <v>15</v>
      </c>
    </row>
    <row r="128" spans="1:6" ht="13.5">
      <c r="A128" s="2851">
        <v>56</v>
      </c>
      <c r="B128" s="3530"/>
      <c r="C128" s="2851" t="s">
        <v>2770</v>
      </c>
      <c r="D128" s="2825" t="s">
        <v>2771</v>
      </c>
      <c r="E128" s="2851">
        <v>0.1</v>
      </c>
      <c r="F128" s="2851">
        <v>15</v>
      </c>
    </row>
    <row r="129" spans="1:6" ht="24">
      <c r="A129" s="2851">
        <v>57</v>
      </c>
      <c r="B129" s="3530"/>
      <c r="C129" s="2851" t="s">
        <v>2772</v>
      </c>
      <c r="D129" s="2825" t="s">
        <v>2773</v>
      </c>
      <c r="E129" s="2851">
        <v>0.1</v>
      </c>
      <c r="F129" s="2851">
        <v>15</v>
      </c>
    </row>
    <row r="130" spans="1:6" ht="24">
      <c r="A130" s="2851">
        <v>58</v>
      </c>
      <c r="B130" s="3530" t="s">
        <v>2774</v>
      </c>
      <c r="C130" s="2851" t="s">
        <v>2775</v>
      </c>
      <c r="D130" s="2825" t="s">
        <v>2776</v>
      </c>
      <c r="E130" s="2851">
        <v>0.1</v>
      </c>
      <c r="F130" s="2851">
        <v>15</v>
      </c>
    </row>
    <row r="131" spans="1:6" ht="13.5">
      <c r="A131" s="2851">
        <v>59</v>
      </c>
      <c r="B131" s="3530"/>
      <c r="C131" s="2851" t="s">
        <v>2777</v>
      </c>
      <c r="D131" s="2825" t="s">
        <v>2778</v>
      </c>
      <c r="E131" s="2851">
        <v>0.1</v>
      </c>
      <c r="F131" s="2851">
        <v>15</v>
      </c>
    </row>
    <row r="132" spans="1:6" ht="13.5">
      <c r="A132" s="2851">
        <v>60</v>
      </c>
      <c r="B132" s="3531" t="s">
        <v>2779</v>
      </c>
      <c r="C132" s="2851" t="s">
        <v>2780</v>
      </c>
      <c r="D132" s="2825" t="s">
        <v>2781</v>
      </c>
      <c r="E132" s="2851">
        <v>0.1</v>
      </c>
      <c r="F132" s="2851">
        <v>15</v>
      </c>
    </row>
    <row r="133" spans="1:6" ht="13.5">
      <c r="A133" s="2851">
        <v>61</v>
      </c>
      <c r="B133" s="3532"/>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530" t="s">
        <v>2787</v>
      </c>
      <c r="C135" s="2851" t="s">
        <v>2788</v>
      </c>
      <c r="D135" s="2825" t="s">
        <v>2789</v>
      </c>
      <c r="E135" s="2851">
        <v>0.1</v>
      </c>
      <c r="F135" s="2851">
        <v>15</v>
      </c>
    </row>
    <row r="136" spans="1:6" ht="13.5">
      <c r="A136" s="2851">
        <v>64</v>
      </c>
      <c r="B136" s="3530"/>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1</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0.95120000000000005</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60743</v>
      </c>
      <c r="C2" s="2" t="s">
        <v>106</v>
      </c>
      <c r="D2" s="190"/>
      <c r="E2" s="190"/>
      <c r="F2" s="190"/>
      <c r="G2" s="190"/>
    </row>
    <row r="3" spans="1:7" s="191" customFormat="1" ht="18" customHeight="1" thickBot="1">
      <c r="A3" s="194" t="s">
        <v>58</v>
      </c>
      <c r="B3" s="195">
        <f ca="1">ROUND(B2*10000/'数据-汇总表'!E3,0)</f>
        <v>11198</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814</v>
      </c>
      <c r="D9" s="794">
        <f>'数据-汇总表'!E5</f>
        <v>54242.66</v>
      </c>
      <c r="E9" s="216">
        <f>'数据-取费表'!B27</f>
        <v>150</v>
      </c>
      <c r="F9" s="212"/>
      <c r="G9" s="217"/>
    </row>
    <row r="10" spans="1:7" s="205" customFormat="1" ht="13.5" customHeight="1">
      <c r="A10" s="732" t="s">
        <v>356</v>
      </c>
      <c r="B10" s="215" t="s">
        <v>67</v>
      </c>
      <c r="C10" s="216">
        <f>ROUND(D10*E10/10000,0)</f>
        <v>0</v>
      </c>
      <c r="D10" s="794">
        <f>'数据-汇总表'!E6</f>
        <v>0</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1085</v>
      </c>
      <c r="D19" s="203">
        <f>'数据-汇总表'!E3</f>
        <v>54242.66</v>
      </c>
      <c r="E19" s="202">
        <f>'数据-取费表'!B31</f>
        <v>200</v>
      </c>
      <c r="F19" s="222"/>
      <c r="G19" s="1" t="s">
        <v>436</v>
      </c>
    </row>
    <row r="20" spans="1:7" s="205" customFormat="1" ht="13.5" customHeight="1">
      <c r="A20" s="730" t="s">
        <v>419</v>
      </c>
      <c r="B20" s="201" t="s">
        <v>77</v>
      </c>
      <c r="C20" s="223">
        <f>ROUND((C5+C19)*F20,0)</f>
        <v>434</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2131</v>
      </c>
      <c r="D22" s="226">
        <f ca="1">C26</f>
        <v>1E-3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2004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106</v>
      </c>
      <c r="D24" s="229"/>
      <c r="E24" s="229"/>
      <c r="F24" s="230"/>
      <c r="G24" s="231" t="s">
        <v>82</v>
      </c>
    </row>
    <row r="25" spans="1:7" s="205" customFormat="1" ht="24">
      <c r="A25" s="733" t="s">
        <v>348</v>
      </c>
      <c r="B25" s="206" t="s">
        <v>420</v>
      </c>
      <c r="C25" s="1041">
        <f ca="1">ROUND(IF('数据-取费表'!B22&lt;=1,C20*F22*'数据-取费表'!B23/2,C20*(POWER((1+F22),'数据-取费表'!B23/2)-1)),0)</f>
        <v>21</v>
      </c>
      <c r="D25" s="229"/>
      <c r="E25" s="232"/>
      <c r="F25" s="230"/>
      <c r="G25" s="233" t="s">
        <v>83</v>
      </c>
    </row>
    <row r="26" spans="1:7" s="205" customFormat="1">
      <c r="A26" s="733" t="s">
        <v>350</v>
      </c>
      <c r="B26" s="206" t="s">
        <v>422</v>
      </c>
      <c r="C26" s="229">
        <f ca="1">ROUND(IF('数据-取费表'!B22&lt;=1,F21*F22*'数据-取费表'!B23/2,F21*(POWER((1+F22),'数据-取费表'!B23/2)-1)),4)</f>
        <v>1E-3</v>
      </c>
      <c r="D26" s="229"/>
      <c r="E26" s="232"/>
      <c r="F26" s="230"/>
      <c r="G26" s="234"/>
    </row>
    <row r="27" spans="1:7" s="205" customFormat="1" ht="24.75">
      <c r="A27" s="730" t="s">
        <v>342</v>
      </c>
      <c r="B27" s="235" t="s">
        <v>85</v>
      </c>
      <c r="C27" s="236">
        <f>C28</f>
        <v>3319</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3319</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29860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24843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21697</v>
      </c>
      <c r="D34" s="208"/>
      <c r="E34" s="211"/>
      <c r="F34" s="248">
        <f>IF('数据-取费表'!B24=0,1,'数据-取费表'!N16)</f>
        <v>1</v>
      </c>
      <c r="G34" s="210" t="s">
        <v>89</v>
      </c>
    </row>
    <row r="35" spans="1:7" ht="13.5" customHeight="1">
      <c r="A35" s="733" t="s">
        <v>351</v>
      </c>
      <c r="B35" s="206" t="s">
        <v>33</v>
      </c>
      <c r="C35" s="211">
        <f>ROUND(C34*F35,0)</f>
        <v>651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1085</v>
      </c>
      <c r="D36" s="211"/>
      <c r="E36" s="211"/>
      <c r="F36" s="250">
        <f>'数据-取费表'!B34</f>
        <v>0.05</v>
      </c>
      <c r="G36" s="251" t="s">
        <v>35</v>
      </c>
    </row>
    <row r="37" spans="1:7" s="249" customFormat="1" ht="13.5" customHeight="1">
      <c r="A37" s="733" t="s">
        <v>353</v>
      </c>
      <c r="B37" s="206" t="s">
        <v>91</v>
      </c>
      <c r="C37" s="240">
        <f>ROUND(E37*D37*F34/10000,0)</f>
        <v>1085</v>
      </c>
      <c r="D37" s="208">
        <f>'数据-汇总表'!E3</f>
        <v>54242.66</v>
      </c>
      <c r="E37" s="240">
        <f>'数据-取费表'!B35</f>
        <v>200</v>
      </c>
      <c r="F37" s="250"/>
      <c r="G37" s="252" t="s">
        <v>92</v>
      </c>
    </row>
    <row r="38" spans="1:7" ht="13.5" customHeight="1">
      <c r="A38" s="733" t="s">
        <v>354</v>
      </c>
      <c r="B38" s="206" t="s">
        <v>36</v>
      </c>
      <c r="C38" s="211">
        <f>ROUND(C34*F38,0)</f>
        <v>325</v>
      </c>
      <c r="D38" s="211"/>
      <c r="E38" s="211"/>
      <c r="F38" s="250">
        <f>'数据-取费表'!B36</f>
        <v>1.4999999999999999E-2</v>
      </c>
      <c r="G38" s="210" t="s">
        <v>90</v>
      </c>
    </row>
    <row r="39" spans="1:7" s="205" customFormat="1" ht="13.5" customHeight="1">
      <c r="A39" s="730" t="s">
        <v>338</v>
      </c>
      <c r="B39" s="201" t="s">
        <v>77</v>
      </c>
      <c r="C39" s="223">
        <f>ROUND(C33*F20,0)</f>
        <v>497</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1204</v>
      </c>
      <c r="D41" s="226">
        <f ca="1">C44</f>
        <v>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1180</v>
      </c>
      <c r="D42" s="229"/>
      <c r="E42" s="229"/>
      <c r="F42" s="230"/>
      <c r="G42" s="3402" t="s">
        <v>94</v>
      </c>
    </row>
    <row r="43" spans="1:7" ht="13.5" customHeight="1">
      <c r="A43" s="733" t="s">
        <v>347</v>
      </c>
      <c r="B43" s="206" t="s">
        <v>426</v>
      </c>
      <c r="C43" s="229">
        <f ca="1">ROUND(IF('数据-取费表'!B22&lt;=1,C39*F22*'数据-取费表'!B21/2,C39*(POWER((1+F22),'数据-取费表'!B21/2)-1)),0)</f>
        <v>24</v>
      </c>
      <c r="D43" s="229"/>
      <c r="E43" s="229"/>
      <c r="F43" s="230"/>
      <c r="G43" s="3403"/>
    </row>
    <row r="44" spans="1:7" ht="13.5" customHeight="1">
      <c r="A44" s="733" t="s">
        <v>348</v>
      </c>
      <c r="B44" s="206" t="s">
        <v>428</v>
      </c>
      <c r="C44" s="229">
        <f ca="1">ROUND(IF('数据-取费表'!B22&lt;=1,C40*F22*'数据-取费表'!B21/2,C40*(POWER((1+F22),'数据-取费表'!B21/2)-1)),4)</f>
        <v>1E-3</v>
      </c>
      <c r="D44" s="229"/>
      <c r="E44" s="229"/>
      <c r="F44" s="230"/>
      <c r="G44" s="3404"/>
    </row>
    <row r="45" spans="1:7" s="205" customFormat="1" ht="13.5" customHeight="1">
      <c r="A45" s="730" t="s">
        <v>341</v>
      </c>
      <c r="B45" s="235" t="s">
        <v>85</v>
      </c>
      <c r="C45" s="236">
        <f>C46</f>
        <v>3801</v>
      </c>
      <c r="D45" s="226">
        <f>C47</f>
        <v>3.0000000000000001E-3</v>
      </c>
      <c r="E45" s="227" t="s">
        <v>102</v>
      </c>
      <c r="F45" s="237"/>
      <c r="G45" s="238" t="s">
        <v>434</v>
      </c>
    </row>
    <row r="46" spans="1:7" s="205" customFormat="1" ht="13.5" customHeight="1">
      <c r="A46" s="733" t="s">
        <v>349</v>
      </c>
      <c r="B46" s="239" t="s">
        <v>427</v>
      </c>
      <c r="C46" s="240">
        <f>ROUND((C33+C39)*F27,0)</f>
        <v>3801</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32854</v>
      </c>
      <c r="D49" s="223"/>
      <c r="E49" s="223"/>
      <c r="F49" s="255"/>
      <c r="G49" s="225" t="s">
        <v>435</v>
      </c>
    </row>
    <row r="50" spans="1:7" s="249" customFormat="1" ht="24">
      <c r="A50" s="730" t="s">
        <v>344</v>
      </c>
      <c r="B50" s="201" t="s">
        <v>97</v>
      </c>
      <c r="C50" s="223"/>
      <c r="D50" s="223"/>
      <c r="E50" s="223"/>
      <c r="F50" s="255">
        <f>IF('数据-取费表'!B24=0,'数据-取费表'!N16,1)</f>
        <v>0.94</v>
      </c>
      <c r="G50" s="238" t="s">
        <v>98</v>
      </c>
    </row>
    <row r="51" spans="1:7" ht="16.5" customHeight="1">
      <c r="A51" s="730" t="s">
        <v>345</v>
      </c>
      <c r="B51" s="201" t="s">
        <v>105</v>
      </c>
      <c r="C51" s="223">
        <f ca="1">ROUND(C49*F50,0)</f>
        <v>30883</v>
      </c>
      <c r="D51" s="223"/>
      <c r="E51" s="223"/>
      <c r="F51" s="255"/>
      <c r="G51" s="225" t="s">
        <v>37</v>
      </c>
    </row>
    <row r="52" spans="1:7" s="199" customFormat="1" ht="16.5" thickBot="1">
      <c r="A52" s="256" t="s">
        <v>38</v>
      </c>
      <c r="B52" s="257"/>
      <c r="C52" s="258">
        <f ca="1">C31+C51</f>
        <v>60743</v>
      </c>
      <c r="D52" s="257"/>
      <c r="E52" s="257"/>
      <c r="F52" s="257"/>
      <c r="G52" s="259"/>
    </row>
    <row r="55" spans="1:7" ht="15">
      <c r="B55" s="261" t="s">
        <v>39</v>
      </c>
      <c r="C55" s="262"/>
    </row>
    <row r="56" spans="1:7">
      <c r="B56" s="264" t="s">
        <v>40</v>
      </c>
      <c r="C56" s="265">
        <f ca="1">ROUND(C51/C52,3)</f>
        <v>0.50800000000000001</v>
      </c>
    </row>
    <row r="57" spans="1:7">
      <c r="B57" s="264" t="s">
        <v>41</v>
      </c>
      <c r="C57" s="266">
        <f ca="1">1-C56</f>
        <v>0.49199999999999999</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44" t="s">
        <v>2839</v>
      </c>
      <c r="B1" s="3544"/>
      <c r="C1" s="3544"/>
      <c r="D1" s="3544"/>
      <c r="E1" s="3544"/>
      <c r="F1" s="3544"/>
      <c r="G1" s="3545"/>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42"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43"/>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46" t="s">
        <v>3181</v>
      </c>
      <c r="B1" s="3546"/>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7"/>
  </cols>
  <sheetData>
    <row r="1" spans="1:6" ht="14.25">
      <c r="A1" s="3547" t="s">
        <v>3232</v>
      </c>
      <c r="B1" s="3547"/>
      <c r="C1" s="3547"/>
      <c r="D1" s="3547"/>
      <c r="E1" s="3547"/>
      <c r="F1" s="3548"/>
    </row>
    <row r="2" spans="1:6" ht="14.25">
      <c r="A2" s="2996" t="s">
        <v>3233</v>
      </c>
    </row>
    <row r="3" spans="1:6" ht="14.25">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45652</v>
      </c>
      <c r="B1" s="2923" t="s">
        <v>2838</v>
      </c>
      <c r="C1" s="2924"/>
      <c r="D1" s="2924"/>
      <c r="E1" s="2924"/>
      <c r="F1" s="2924"/>
      <c r="G1" s="2924"/>
      <c r="H1" s="2924"/>
      <c r="I1" s="2924"/>
      <c r="J1" s="2890"/>
      <c r="K1" s="2924" t="s">
        <v>454</v>
      </c>
      <c r="L1" s="2924"/>
      <c r="M1" s="2924"/>
      <c r="N1" s="2924"/>
      <c r="O1" s="2924"/>
      <c r="P1" s="2924"/>
      <c r="Q1" s="2890"/>
      <c r="R1" s="3549" t="s">
        <v>456</v>
      </c>
      <c r="S1" s="3550"/>
      <c r="T1" s="3550"/>
      <c r="U1" s="3550"/>
      <c r="V1" s="3550"/>
      <c r="W1" s="3550"/>
      <c r="X1" s="2890"/>
      <c r="Y1" s="3549" t="s">
        <v>457</v>
      </c>
      <c r="Z1" s="3550"/>
      <c r="AA1" s="3550"/>
      <c r="AB1" s="3550"/>
      <c r="AC1" s="3550"/>
      <c r="AD1" s="3550"/>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49" t="s">
        <v>2826</v>
      </c>
      <c r="S21" s="3550"/>
      <c r="T21" s="3550"/>
      <c r="U21" s="3550"/>
      <c r="V21" s="3550"/>
      <c r="W21" s="3550"/>
      <c r="X21" s="2890"/>
      <c r="Y21" s="3549" t="s">
        <v>2827</v>
      </c>
      <c r="Z21" s="3550"/>
      <c r="AA21" s="3550"/>
      <c r="AB21" s="3550"/>
      <c r="AC21" s="3550"/>
      <c r="AD21" s="3550"/>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54" t="s">
        <v>452</v>
      </c>
      <c r="C1" s="3554"/>
      <c r="D1" s="3554"/>
      <c r="E1" s="3554"/>
      <c r="F1" s="3554"/>
      <c r="G1" s="3550" t="s">
        <v>453</v>
      </c>
      <c r="H1" s="3550"/>
      <c r="I1" s="3550"/>
      <c r="J1" s="3550"/>
      <c r="K1" s="3550"/>
      <c r="L1" s="3550"/>
      <c r="N1" s="3550" t="s">
        <v>454</v>
      </c>
      <c r="O1" s="3550"/>
      <c r="P1" s="3550"/>
      <c r="Q1" s="3550"/>
      <c r="S1" s="3550" t="s">
        <v>455</v>
      </c>
      <c r="T1" s="3550"/>
      <c r="U1" s="3550"/>
      <c r="V1" s="3550"/>
      <c r="X1" s="3549" t="s">
        <v>456</v>
      </c>
      <c r="Y1" s="3550"/>
      <c r="Z1" s="3550"/>
      <c r="AA1" s="3550"/>
      <c r="AB1" s="3550"/>
      <c r="AD1" s="3549" t="s">
        <v>457</v>
      </c>
      <c r="AE1" s="3550"/>
      <c r="AF1" s="3550"/>
      <c r="AG1" s="3550"/>
      <c r="AH1" s="3550"/>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52">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52"/>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52"/>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59"/>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55">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52"/>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52"/>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59"/>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55">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52"/>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52"/>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53"/>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51">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52"/>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52"/>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53"/>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51">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52"/>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52"/>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53"/>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56">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57"/>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57"/>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58"/>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51">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52"/>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52"/>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53"/>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51">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52">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52">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53">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51">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52">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52">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53">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51">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52">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52">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53">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51">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52">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52">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53">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51">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52">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52">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53">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51">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52">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52">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53">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51">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52">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52">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53">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51">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52">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52">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53">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51">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52">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52">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53">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51">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52">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52">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53">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38" t="str">
        <f>IF(项目基本情况!B9="房地产市场价值","估价结果一览表","结果表-2")</f>
        <v>结果表-2</v>
      </c>
      <c r="B1" s="3238"/>
      <c r="C1" s="3238"/>
      <c r="D1" s="3238"/>
      <c r="E1" s="3238"/>
      <c r="F1" s="3238"/>
      <c r="G1" s="3238"/>
      <c r="H1" s="3238"/>
      <c r="I1" s="3238"/>
    </row>
    <row r="2" spans="1:9" ht="30" customHeight="1" thickTop="1">
      <c r="A2" s="3239" t="s">
        <v>928</v>
      </c>
      <c r="B2" s="3239" t="s">
        <v>929</v>
      </c>
      <c r="C2" s="3239" t="s">
        <v>930</v>
      </c>
      <c r="D2" s="3239" t="str">
        <f>结果表!D116</f>
        <v>出让国有建设用地使用权价值</v>
      </c>
      <c r="E2" s="3239"/>
      <c r="F2" s="3239" t="str">
        <f>结果表!F116</f>
        <v>在建建筑物价值</v>
      </c>
      <c r="G2" s="3239"/>
      <c r="H2" s="3239" t="str">
        <f>IF(项目基本情况!B9="房地产市场价值","房地产市场价值","房地产价值")</f>
        <v>房地产价值</v>
      </c>
      <c r="I2" s="3239"/>
    </row>
    <row r="3" spans="1:9" ht="15">
      <c r="A3" s="3234"/>
      <c r="B3" s="3234"/>
      <c r="C3" s="3234"/>
      <c r="D3" s="800" t="s">
        <v>925</v>
      </c>
      <c r="E3" s="800" t="s">
        <v>931</v>
      </c>
      <c r="F3" s="800" t="s">
        <v>925</v>
      </c>
      <c r="G3" s="800" t="s">
        <v>926</v>
      </c>
      <c r="H3" s="800" t="s">
        <v>925</v>
      </c>
      <c r="I3" s="800" t="s">
        <v>926</v>
      </c>
    </row>
    <row r="4" spans="1:9" ht="15">
      <c r="A4" s="1401" t="str">
        <f>项目基本情况!S2</f>
        <v>北京市房地产</v>
      </c>
      <c r="B4" s="800">
        <f>项目基本情况!C17</f>
        <v>54242.66</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34" t="s">
        <v>927</v>
      </c>
      <c r="B5" s="3234"/>
      <c r="C5" s="3234"/>
      <c r="D5" s="3234" t="e">
        <f ca="1">结果表!D119</f>
        <v>#REF!</v>
      </c>
      <c r="E5" s="3234"/>
      <c r="F5" s="3234" t="e">
        <f ca="1">结果表!F119</f>
        <v>#REF!</v>
      </c>
      <c r="G5" s="3234"/>
      <c r="H5" s="3234" t="e">
        <f ca="1">结果表!H119</f>
        <v>#REF!</v>
      </c>
      <c r="I5" s="3234"/>
    </row>
    <row r="6" spans="1:9" ht="15.75">
      <c r="A6" s="3233" t="str">
        <f>结果表!A120</f>
        <v>估价师知悉的法定优先受偿款</v>
      </c>
      <c r="B6" s="3233"/>
      <c r="C6" s="3233"/>
      <c r="D6" s="3233">
        <f>结果表!D120</f>
        <v>0</v>
      </c>
      <c r="E6" s="3233"/>
      <c r="F6" s="3233"/>
      <c r="G6" s="3233"/>
      <c r="H6" s="3233"/>
      <c r="I6" s="3233"/>
    </row>
    <row r="7" spans="1:9" ht="15">
      <c r="A7" s="3234" t="s">
        <v>927</v>
      </c>
      <c r="B7" s="3234"/>
      <c r="C7" s="3234"/>
      <c r="D7" s="3235" t="str">
        <f>结果表!D121</f>
        <v>零元整</v>
      </c>
      <c r="E7" s="3236"/>
      <c r="F7" s="3236"/>
      <c r="G7" s="3236"/>
      <c r="H7" s="3236"/>
      <c r="I7" s="3237"/>
    </row>
    <row r="8" spans="1:9" ht="15.75">
      <c r="A8" s="3233" t="str">
        <f>结果表!A122</f>
        <v>房地产抵押价值</v>
      </c>
      <c r="B8" s="3233"/>
      <c r="C8" s="3233"/>
      <c r="D8" s="3233" t="e">
        <f ca="1">结果表!D122</f>
        <v>#REF!</v>
      </c>
      <c r="E8" s="3233"/>
      <c r="F8" s="3233"/>
      <c r="G8" s="3233"/>
      <c r="H8" s="3233"/>
      <c r="I8" s="3233"/>
    </row>
    <row r="9" spans="1:9" ht="15">
      <c r="A9" s="3234" t="s">
        <v>927</v>
      </c>
      <c r="B9" s="3234"/>
      <c r="C9" s="3234"/>
      <c r="D9" s="3234" t="e">
        <f ca="1">结果表!D123</f>
        <v>#REF!</v>
      </c>
      <c r="E9" s="3234"/>
      <c r="F9" s="3234"/>
      <c r="G9" s="3234"/>
      <c r="H9" s="3234"/>
      <c r="I9" s="3234"/>
    </row>
    <row r="10" spans="1:9" ht="15.75">
      <c r="A10" s="3233" t="str">
        <f>结果表!A124</f>
        <v/>
      </c>
      <c r="B10" s="3233"/>
      <c r="C10" s="3233"/>
      <c r="D10" s="3233" t="str">
        <f>结果表!D124</f>
        <v>——</v>
      </c>
      <c r="E10" s="3233"/>
      <c r="F10" s="3233"/>
      <c r="G10" s="3233"/>
      <c r="H10" s="3233"/>
      <c r="I10" s="3233"/>
    </row>
    <row r="11" spans="1:9" ht="15">
      <c r="A11" s="3234" t="s">
        <v>927</v>
      </c>
      <c r="B11" s="3234"/>
      <c r="C11" s="3234"/>
      <c r="D11" s="3234" t="e">
        <f>结果表!D125</f>
        <v>#VALUE!</v>
      </c>
      <c r="E11" s="3234"/>
      <c r="F11" s="3234"/>
      <c r="G11" s="3234"/>
      <c r="H11" s="3234"/>
      <c r="I11" s="3234"/>
    </row>
    <row r="12" spans="1:9" ht="15.75">
      <c r="A12" s="3233" t="str">
        <f>结果表!A126</f>
        <v/>
      </c>
      <c r="B12" s="3233"/>
      <c r="C12" s="3233"/>
      <c r="D12" s="3233" t="str">
        <f>结果表!D126</f>
        <v>——</v>
      </c>
      <c r="E12" s="3233"/>
      <c r="F12" s="3233"/>
      <c r="G12" s="3233"/>
      <c r="H12" s="3233"/>
      <c r="I12" s="3233"/>
    </row>
    <row r="13" spans="1:9" ht="15.75" thickBot="1">
      <c r="A13" s="3231" t="s">
        <v>927</v>
      </c>
      <c r="B13" s="3231"/>
      <c r="C13" s="3231"/>
      <c r="D13" s="3231" t="e">
        <f>结果表!D127</f>
        <v>#VALUE!</v>
      </c>
      <c r="E13" s="3231"/>
      <c r="F13" s="3231"/>
      <c r="G13" s="3231"/>
      <c r="H13" s="3231"/>
      <c r="I13" s="3231"/>
    </row>
    <row r="14" spans="1:9" ht="15" thickTop="1">
      <c r="A14" s="3232" t="s">
        <v>932</v>
      </c>
      <c r="B14" s="3232"/>
      <c r="C14" s="3232"/>
      <c r="D14" s="3232"/>
      <c r="E14" s="3232"/>
      <c r="F14" s="3232"/>
      <c r="G14" s="3232"/>
      <c r="H14" s="3232"/>
      <c r="I14" s="3232"/>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46" t="s">
        <v>949</v>
      </c>
      <c r="B1" s="3246"/>
      <c r="C1" s="3246"/>
      <c r="D1" s="3246"/>
    </row>
    <row r="2" spans="1:4" ht="18">
      <c r="A2" s="3247" t="s">
        <v>933</v>
      </c>
      <c r="B2" s="3247"/>
      <c r="C2" s="3247"/>
      <c r="D2" s="3247"/>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47" t="s">
        <v>939</v>
      </c>
      <c r="B6" s="3247"/>
      <c r="C6" s="3247"/>
      <c r="D6" s="3247"/>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48" t="s">
        <v>942</v>
      </c>
      <c r="B11" s="3240"/>
      <c r="C11" s="3240"/>
      <c r="D11" s="3240"/>
    </row>
    <row r="12" spans="1:4" ht="15.75">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5"/>
      <c r="C12" s="3245"/>
      <c r="D12" s="3245"/>
    </row>
    <row r="13" spans="1:4" ht="30" customHeight="1">
      <c r="A13" s="3240" t="str">
        <f>IF(项目基本情况!B8="抵押","3.抵押双方在办理抵押登记手续时，应使用本公司出具的正式《房地产评估报告》，特提醒报告使用者注意。","——")</f>
        <v>——</v>
      </c>
      <c r="B13" s="3245"/>
      <c r="C13" s="3245"/>
      <c r="D13" s="3245"/>
    </row>
    <row r="14" spans="1:4" ht="15.75" customHeight="1">
      <c r="A14" s="3240" t="str">
        <f>IF(项目基本情况!B8="抵押","4.本次评估估价师所知悉的法定优先受偿款情况说明如下：","——")</f>
        <v>——</v>
      </c>
      <c r="B14" s="3245"/>
      <c r="C14" s="3245"/>
      <c r="D14" s="3245"/>
    </row>
    <row r="15" spans="1:4" ht="42" customHeight="1">
      <c r="A15" s="3240" t="str">
        <f>IF(项目基本情况!B8="抵押","（1）"&amp;CONCATENATE(项目基本情况!L20,项目基本情况!L21,项目基本情况!L22),"——")</f>
        <v>——</v>
      </c>
      <c r="B15" s="3240"/>
      <c r="C15" s="3240"/>
      <c r="D15" s="3240"/>
    </row>
    <row r="16" spans="1:4" ht="30" customHeight="1">
      <c r="A16" s="3242" t="s">
        <v>943</v>
      </c>
      <c r="B16" s="3242"/>
      <c r="C16" s="3242"/>
      <c r="D16" s="3242"/>
    </row>
    <row r="17" spans="1:4" ht="144" customHeight="1">
      <c r="A17" s="3242" t="s">
        <v>944</v>
      </c>
      <c r="B17" s="3242"/>
      <c r="C17" s="3242"/>
      <c r="D17" s="3242"/>
    </row>
    <row r="18" spans="1:4" ht="15.75" customHeight="1">
      <c r="A18" s="3240" t="str">
        <f>IF(项目基本情况!B8="抵押",结果表!K120,"——")</f>
        <v>——</v>
      </c>
      <c r="B18" s="3240"/>
      <c r="C18" s="3240"/>
      <c r="D18" s="3240"/>
    </row>
    <row r="19" spans="1:4" ht="46.5" customHeight="1">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spans="1:4" ht="57.75" customHeight="1">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0"/>
      <c r="C20" s="3240"/>
      <c r="D20" s="3240"/>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3"/>
      <c r="C21" s="3243"/>
      <c r="D21" s="3243"/>
    </row>
    <row r="22" spans="1:4" ht="18.75" customHeight="1">
      <c r="A22" s="3244" t="s">
        <v>945</v>
      </c>
      <c r="B22" s="3244"/>
      <c r="C22" s="3244"/>
      <c r="D22" s="3244"/>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41">
        <v>42551</v>
      </c>
      <c r="D31" s="32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54" t="s">
        <v>956</v>
      </c>
      <c r="B15" s="3249" t="s">
        <v>109</v>
      </c>
      <c r="C15" s="3250"/>
    </row>
    <row r="16" spans="1:7" ht="13.5">
      <c r="A16" s="3255"/>
      <c r="B16" s="3249" t="s">
        <v>42</v>
      </c>
      <c r="C16" s="3250"/>
    </row>
    <row r="17" spans="1:3" ht="13.5">
      <c r="A17" s="3255"/>
      <c r="B17" s="3252" t="s">
        <v>957</v>
      </c>
      <c r="C17" s="1427" t="s">
        <v>956</v>
      </c>
    </row>
    <row r="18" spans="1:3" ht="13.5">
      <c r="A18" s="3255"/>
      <c r="B18" s="3252"/>
      <c r="C18" s="1427" t="s">
        <v>958</v>
      </c>
    </row>
    <row r="19" spans="1:3" ht="13.5">
      <c r="A19" s="3255"/>
      <c r="B19" s="3252"/>
      <c r="C19" s="1427" t="s">
        <v>959</v>
      </c>
    </row>
    <row r="20" spans="1:3" ht="13.5">
      <c r="A20" s="3256"/>
      <c r="B20" s="3251" t="s">
        <v>960</v>
      </c>
      <c r="C20" s="3250"/>
    </row>
    <row r="21" spans="1:3" ht="13.5">
      <c r="A21" s="1428" t="s">
        <v>961</v>
      </c>
      <c r="B21" s="1429"/>
      <c r="C21" s="1430"/>
    </row>
    <row r="22" spans="1:3" ht="13.5">
      <c r="A22" s="3253" t="s">
        <v>962</v>
      </c>
      <c r="B22" s="3251" t="s">
        <v>963</v>
      </c>
      <c r="C22" s="3250"/>
    </row>
    <row r="23" spans="1:3" ht="13.5">
      <c r="A23" s="3253"/>
      <c r="B23" s="3251" t="s">
        <v>964</v>
      </c>
      <c r="C23" s="3250"/>
    </row>
    <row r="24" spans="1:3" ht="13.5">
      <c r="A24" s="3253"/>
      <c r="B24" s="3251" t="s">
        <v>965</v>
      </c>
      <c r="C24" s="3250"/>
    </row>
    <row r="25" spans="1:3" ht="13.5">
      <c r="A25" s="3253"/>
      <c r="B25" s="3252" t="s">
        <v>966</v>
      </c>
      <c r="C25" s="1427" t="s">
        <v>967</v>
      </c>
    </row>
    <row r="26" spans="1:3" ht="13.5">
      <c r="A26" s="3253"/>
      <c r="B26" s="3252"/>
      <c r="C26" s="1427" t="s">
        <v>968</v>
      </c>
    </row>
    <row r="27" spans="1:3" ht="13.5">
      <c r="A27" s="3253"/>
      <c r="B27" s="3252"/>
      <c r="C27" s="1427" t="s">
        <v>969</v>
      </c>
    </row>
    <row r="28" spans="1:3" ht="13.5">
      <c r="A28" s="3253"/>
      <c r="B28" s="3252"/>
      <c r="C28" s="1427" t="s">
        <v>970</v>
      </c>
    </row>
    <row r="29" spans="1:3" ht="13.5">
      <c r="A29" s="3253"/>
      <c r="B29" s="3252"/>
      <c r="C29" s="1427" t="s">
        <v>971</v>
      </c>
    </row>
    <row r="30" spans="1:3" ht="13.5">
      <c r="A30" s="3253"/>
      <c r="B30" s="3252"/>
      <c r="C30" s="1427" t="s">
        <v>972</v>
      </c>
    </row>
    <row r="31" spans="1:3" ht="13.5">
      <c r="A31" s="3253"/>
      <c r="B31" s="3252"/>
      <c r="C31" s="1427" t="s">
        <v>973</v>
      </c>
    </row>
    <row r="32" spans="1:3" ht="13.5">
      <c r="A32" s="3253"/>
      <c r="B32" s="3252"/>
      <c r="C32" s="1427" t="s">
        <v>974</v>
      </c>
    </row>
    <row r="33" spans="1:3" ht="13.5">
      <c r="A33" s="3253"/>
      <c r="B33" s="3252"/>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45660</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t="str">
        <f ca="1">IF(C9&lt;B2,"已过期",1120060040)</f>
        <v>已过期</v>
      </c>
      <c r="C9" s="2162">
        <v>45592</v>
      </c>
      <c r="D9" s="2158" t="str">
        <f t="shared" ca="1" si="0"/>
        <v>陈颖（注册号：已过期）</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57" t="s">
        <v>2157</v>
      </c>
      <c r="B17" s="3257"/>
      <c r="C17" s="3257"/>
      <c r="D17" s="3257"/>
      <c r="E17" s="3257"/>
      <c r="F17" s="3257"/>
      <c r="G17" s="3257"/>
      <c r="H17" s="3257"/>
    </row>
    <row r="18" spans="1:8" ht="24" customHeight="1">
      <c r="A18" s="3258" t="s">
        <v>2158</v>
      </c>
      <c r="B18" s="3258"/>
      <c r="C18" s="3258"/>
      <c r="D18" s="2155"/>
      <c r="E18" s="3259" t="s">
        <v>2159</v>
      </c>
      <c r="F18" s="3258"/>
      <c r="G18" s="3258"/>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3" type="noConversion"/>
  <conditionalFormatting sqref="A16:C16">
    <cfRule type="cellIs" dxfId="144" priority="32" stopIfTrue="1" operator="equal">
      <formula>"已过期"</formula>
    </cfRule>
  </conditionalFormatting>
  <conditionalFormatting sqref="B4:B15">
    <cfRule type="cellIs" dxfId="143" priority="4" stopIfTrue="1" operator="equal">
      <formula>"已过期"</formula>
    </cfRule>
  </conditionalFormatting>
  <conditionalFormatting sqref="C7:C12">
    <cfRule type="expression" dxfId="142" priority="22">
      <formula>AND($C7-TODAY()&lt;30,TODAY()&lt;$C7)</formula>
    </cfRule>
    <cfRule type="cellIs" dxfId="141" priority="23" stopIfTrue="1" operator="lessThan">
      <formula>$B$2</formula>
    </cfRule>
  </conditionalFormatting>
  <conditionalFormatting sqref="C14:C15">
    <cfRule type="expression" dxfId="140" priority="7">
      <formula>AND($C14-TODAY()&lt;30,TODAY()&lt;$C14)</formula>
    </cfRule>
    <cfRule type="cellIs" dxfId="139" priority="8" stopIfTrue="1" operator="lessThan">
      <formula>$B$2</formula>
    </cfRule>
  </conditionalFormatting>
  <conditionalFormatting sqref="C4:D6 D14">
    <cfRule type="cellIs" dxfId="138" priority="50" stopIfTrue="1" operator="lessThan">
      <formula>$B$2</formula>
    </cfRule>
  </conditionalFormatting>
  <conditionalFormatting sqref="C12:D13">
    <cfRule type="expression" dxfId="137" priority="47">
      <formula>AND($C12-TODAY()&lt;30,TODAY()&lt;$C12)</formula>
    </cfRule>
  </conditionalFormatting>
  <conditionalFormatting sqref="C13:D14">
    <cfRule type="expression" dxfId="136" priority="18">
      <formula>AND($C13-TODAY()&lt;30,TODAY()&lt;$C13)</formula>
    </cfRule>
    <cfRule type="cellIs" dxfId="135" priority="19" stopIfTrue="1" operator="lessThan">
      <formula>$B$2</formula>
    </cfRule>
  </conditionalFormatting>
  <conditionalFormatting sqref="C15:D15">
    <cfRule type="expression" dxfId="134" priority="5">
      <formula>AND($C15-TODAY()&lt;30,TODAY()&lt;$C15)</formula>
    </cfRule>
    <cfRule type="cellIs" dxfId="133" priority="6" stopIfTrue="1" operator="lessThan">
      <formula>$B$2</formula>
    </cfRule>
  </conditionalFormatting>
  <conditionalFormatting sqref="C20:D20 C13:D13">
    <cfRule type="cellIs" dxfId="132" priority="54" stopIfTrue="1" operator="lessThan">
      <formula>$B$2</formula>
    </cfRule>
  </conditionalFormatting>
  <conditionalFormatting sqref="C20:D20">
    <cfRule type="expression" dxfId="131" priority="52">
      <formula>AND($C20-TODAY()&lt;30,TODAY()&lt;$C20)</formula>
    </cfRule>
  </conditionalFormatting>
  <conditionalFormatting sqref="D7:D12 D16">
    <cfRule type="expression" dxfId="130" priority="53">
      <formula>AND($C7-TODAY()&lt;30,TODAY()&lt;$C7)</formula>
    </cfRule>
  </conditionalFormatting>
  <conditionalFormatting sqref="D7:D12">
    <cfRule type="cellIs" dxfId="129" priority="48" stopIfTrue="1" operator="lessThan">
      <formula>$B$2</formula>
    </cfRule>
  </conditionalFormatting>
  <conditionalFormatting sqref="D14 C4:D6">
    <cfRule type="expression" dxfId="128" priority="49">
      <formula>AND($C4-TODAY()&lt;30,TODAY()&lt;$C4)</formula>
    </cfRule>
  </conditionalFormatting>
  <conditionalFormatting sqref="D15:D16">
    <cfRule type="expression" dxfId="127" priority="12">
      <formula>AND($C15-TODAY()&lt;30,TODAY()&lt;$C15)</formula>
    </cfRule>
    <cfRule type="cellIs" dxfId="126" priority="13" stopIfTrue="1" operator="lessThan">
      <formula>$B$2</formula>
    </cfRule>
  </conditionalFormatting>
  <conditionalFormatting sqref="E16:G16">
    <cfRule type="cellIs" dxfId="125" priority="31" stopIfTrue="1" operator="equal">
      <formula>"已过期"</formula>
    </cfRule>
  </conditionalFormatting>
  <conditionalFormatting sqref="F4:F15">
    <cfRule type="cellIs" dxfId="124" priority="9" stopIfTrue="1" operator="equal">
      <formula>"已过期"</formula>
    </cfRule>
  </conditionalFormatting>
  <conditionalFormatting sqref="G4:G15">
    <cfRule type="cellIs" dxfId="123" priority="3" stopIfTrue="1" operator="lessThan">
      <formula>$B$2</formula>
    </cfRule>
  </conditionalFormatting>
  <conditionalFormatting sqref="G20:G21">
    <cfRule type="expression" dxfId="122" priority="1" stopIfTrue="1">
      <formula>AND(#REF!-TODAY()&lt;30,TODAY()&lt;#REF!)</formula>
    </cfRule>
    <cfRule type="cellIs" dxfId="12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 (租金)</vt:lpstr>
      <vt:lpstr>收益法 (元)</vt:lpstr>
      <vt:lpstr>存贷款利率</vt:lpstr>
      <vt:lpstr>案例</vt:lpstr>
      <vt:lpstr>房源表</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'比较法-住宅 (租金)'!Print_Area</vt:lpstr>
      <vt:lpstr>成本法!Print_Area</vt:lpstr>
      <vt:lpstr>'成本法 (元)'!Print_Area</vt:lpstr>
      <vt:lpstr>房源表!Print_Area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房源表!Print_Titles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(租金)'!住宅朝向</vt:lpstr>
      <vt:lpstr>住宅朝向</vt:lpstr>
      <vt:lpstr>'比较法-住宅 (租金)'!住宅房型</vt:lpstr>
      <vt:lpstr>住宅房型</vt:lpstr>
      <vt:lpstr>'比较法-住宅 (租金)'!住宅公共部分装修</vt:lpstr>
      <vt:lpstr>住宅公共部分装修</vt:lpstr>
      <vt:lpstr>'比较法-住宅 (租金)'!住宅基础设施水平</vt:lpstr>
      <vt:lpstr>住宅基础设施水平</vt:lpstr>
      <vt:lpstr>'比较法-住宅 (租金)'!住宅建筑结构</vt:lpstr>
      <vt:lpstr>住宅建筑结构</vt:lpstr>
      <vt:lpstr>'比较法-住宅 (租金)'!住宅建筑类型</vt:lpstr>
      <vt:lpstr>住宅建筑类型</vt:lpstr>
      <vt:lpstr>'比较法-住宅 (租金)'!住宅建筑品质</vt:lpstr>
      <vt:lpstr>住宅建筑品质</vt:lpstr>
      <vt:lpstr>'比较法-住宅 (租金)'!住宅交易情况</vt:lpstr>
      <vt:lpstr>住宅交易情况</vt:lpstr>
      <vt:lpstr>'比较法-住宅 (租金)'!住宅楼层</vt:lpstr>
      <vt:lpstr>住宅楼层</vt:lpstr>
      <vt:lpstr>'比较法-住宅 (租金)'!住宅内部装修</vt:lpstr>
      <vt:lpstr>住宅内部装修</vt:lpstr>
      <vt:lpstr>'比较法-住宅 (租金)'!住宅物业管理</vt:lpstr>
      <vt:lpstr>住宅物业管理</vt:lpstr>
      <vt:lpstr>'比较法-住宅 (租金)'!住宅用途</vt:lpstr>
      <vt:lpstr>住宅用途</vt:lpstr>
      <vt:lpstr>'比较法-住宅 (租金)'!住宅主力户型面积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2025-01-03T03:08:40Z</dcterms:modified>
</cp:coreProperties>
</file>